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bookViews>
    <workbookView xWindow="0" yWindow="460" windowWidth="25600" windowHeight="15460" tabRatio="500"/>
  </bookViews>
  <sheets>
    <sheet name="Zutaten" sheetId="1" r:id="rId1"/>
    <sheet name="Gerichte" sheetId="2" r:id="rId2"/>
    <sheet name="Tracking" sheetId="3" r:id="rId3"/>
    <sheet name="Basisdaten" sheetId="4" r:id="rId4"/>
  </sheets>
  <definedNames>
    <definedName name="Gesamtumsatz">Basisdaten!$B$3</definedName>
    <definedName name="Grundumsatz">Basisdaten!$B$3</definedName>
    <definedName name="Krafttraining">Basisdaten!$B$7</definedName>
    <definedName name="Krafttraining45">Basisdaten!$B$7</definedName>
    <definedName name="Krafttraining60">Basisdaten!$B$8</definedName>
    <definedName name="Laufen">Basisdaten!$B$6</definedName>
    <definedName name="Laufen30">Basisdaten!$B$6</definedName>
    <definedName name="PAL">Basisdaten!$B$4</definedName>
    <definedName name="Training">Basisdaten!$B$7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3" l="1"/>
  <c r="B7" i="3"/>
  <c r="G108" i="1"/>
  <c r="F108" i="1"/>
  <c r="E108" i="1"/>
  <c r="D108" i="1"/>
  <c r="G98" i="1"/>
  <c r="F98" i="1"/>
  <c r="E98" i="1"/>
  <c r="D98" i="1"/>
  <c r="F45" i="1"/>
  <c r="E45" i="1"/>
  <c r="D45" i="1"/>
  <c r="G45" i="1"/>
  <c r="G107" i="1"/>
  <c r="F107" i="1"/>
  <c r="E107" i="1"/>
  <c r="D107" i="1"/>
  <c r="F106" i="1"/>
  <c r="G106" i="1"/>
  <c r="E106" i="1"/>
  <c r="D106" i="1"/>
  <c r="G71" i="1"/>
  <c r="F71" i="1"/>
  <c r="E71" i="1"/>
  <c r="D71" i="1"/>
  <c r="G126" i="1"/>
  <c r="F126" i="1"/>
  <c r="E126" i="1"/>
  <c r="D126" i="1"/>
  <c r="G146" i="1"/>
  <c r="F146" i="1"/>
  <c r="E146" i="1"/>
  <c r="D146" i="1"/>
  <c r="G133" i="1"/>
  <c r="F133" i="1"/>
  <c r="E133" i="1"/>
  <c r="D133" i="1"/>
  <c r="G43" i="1"/>
  <c r="F43" i="1"/>
  <c r="E43" i="1"/>
  <c r="D43" i="1"/>
  <c r="G117" i="1"/>
  <c r="F117" i="1"/>
  <c r="E117" i="1"/>
  <c r="D117" i="1"/>
  <c r="G150" i="1"/>
  <c r="F150" i="1"/>
  <c r="E150" i="1"/>
  <c r="D150" i="1"/>
  <c r="G145" i="1"/>
  <c r="F145" i="1"/>
  <c r="E145" i="1"/>
  <c r="D145" i="1"/>
  <c r="G125" i="1"/>
  <c r="F125" i="1"/>
  <c r="E125" i="1"/>
  <c r="D125" i="1"/>
  <c r="G144" i="1"/>
  <c r="F144" i="1"/>
  <c r="E144" i="1"/>
  <c r="D144" i="1"/>
  <c r="G70" i="1"/>
  <c r="F70" i="1"/>
  <c r="E70" i="1"/>
  <c r="D70" i="1"/>
  <c r="G143" i="1"/>
  <c r="F143" i="1"/>
  <c r="E143" i="1"/>
  <c r="D143" i="1"/>
  <c r="G142" i="1"/>
  <c r="F142" i="1"/>
  <c r="E142" i="1"/>
  <c r="D142" i="1"/>
  <c r="G74" i="1"/>
  <c r="F74" i="1"/>
  <c r="E74" i="1"/>
  <c r="D74" i="1"/>
  <c r="G147" i="1"/>
  <c r="F147" i="1"/>
  <c r="E147" i="1"/>
  <c r="D147" i="1"/>
  <c r="G124" i="1"/>
  <c r="F124" i="1"/>
  <c r="E124" i="1"/>
  <c r="D124" i="1"/>
  <c r="E43" i="2"/>
  <c r="E44" i="2"/>
  <c r="E45" i="2"/>
  <c r="E42" i="2"/>
  <c r="F43" i="2"/>
  <c r="F44" i="2"/>
  <c r="F45" i="2"/>
  <c r="F42" i="2"/>
  <c r="G43" i="2"/>
  <c r="G44" i="2"/>
  <c r="G45" i="2"/>
  <c r="G42" i="2"/>
  <c r="D43" i="2"/>
  <c r="D44" i="2"/>
  <c r="D45" i="2"/>
  <c r="D42" i="2"/>
  <c r="G39" i="2"/>
  <c r="F39" i="2"/>
  <c r="E39" i="2"/>
  <c r="D39" i="2"/>
  <c r="G15" i="1"/>
  <c r="F15" i="1"/>
  <c r="E15" i="1"/>
  <c r="D15" i="1"/>
  <c r="G141" i="1"/>
  <c r="F141" i="1"/>
  <c r="E141" i="1"/>
  <c r="D141" i="1"/>
  <c r="E34" i="2"/>
  <c r="E35" i="2"/>
  <c r="E36" i="2"/>
  <c r="E33" i="2"/>
  <c r="F34" i="2"/>
  <c r="F35" i="2"/>
  <c r="F36" i="2"/>
  <c r="F33" i="2"/>
  <c r="G34" i="2"/>
  <c r="G35" i="2"/>
  <c r="G36" i="2"/>
  <c r="G33" i="2"/>
  <c r="D34" i="2"/>
  <c r="D35" i="2"/>
  <c r="D36" i="2"/>
  <c r="D33" i="2"/>
  <c r="G14" i="1"/>
  <c r="F14" i="1"/>
  <c r="E14" i="1"/>
  <c r="D14" i="1"/>
  <c r="G138" i="1"/>
  <c r="F138" i="1"/>
  <c r="E138" i="1"/>
  <c r="D138" i="1"/>
  <c r="G137" i="1"/>
  <c r="F137" i="1"/>
  <c r="E137" i="1"/>
  <c r="D137" i="1"/>
  <c r="G44" i="1"/>
  <c r="F44" i="1"/>
  <c r="E44" i="1"/>
  <c r="D44" i="1"/>
  <c r="G84" i="1"/>
  <c r="F84" i="1"/>
  <c r="E84" i="1"/>
  <c r="D84" i="1"/>
  <c r="E17" i="2"/>
  <c r="E18" i="2"/>
  <c r="E19" i="2"/>
  <c r="E20" i="2"/>
  <c r="E16" i="2"/>
  <c r="E25" i="2"/>
  <c r="E26" i="2"/>
  <c r="E27" i="2"/>
  <c r="E24" i="2"/>
  <c r="F17" i="2"/>
  <c r="F18" i="2"/>
  <c r="F19" i="2"/>
  <c r="F20" i="2"/>
  <c r="F16" i="2"/>
  <c r="F25" i="2"/>
  <c r="F26" i="2"/>
  <c r="F27" i="2"/>
  <c r="F24" i="2"/>
  <c r="G17" i="2"/>
  <c r="G18" i="2"/>
  <c r="G19" i="2"/>
  <c r="G20" i="2"/>
  <c r="G16" i="2"/>
  <c r="G25" i="2"/>
  <c r="G26" i="2"/>
  <c r="G27" i="2"/>
  <c r="G24" i="2"/>
  <c r="D17" i="2"/>
  <c r="D18" i="2"/>
  <c r="D19" i="2"/>
  <c r="D20" i="2"/>
  <c r="D16" i="2"/>
  <c r="D25" i="2"/>
  <c r="D26" i="2"/>
  <c r="D27" i="2"/>
  <c r="D24" i="2"/>
  <c r="C25" i="2"/>
  <c r="B25" i="2"/>
  <c r="G87" i="1"/>
  <c r="F87" i="1"/>
  <c r="E87" i="1"/>
  <c r="D87" i="1"/>
  <c r="G10" i="1"/>
  <c r="F10" i="1"/>
  <c r="E10" i="1"/>
  <c r="D10" i="1"/>
  <c r="G42" i="1"/>
  <c r="F42" i="1"/>
  <c r="E42" i="1"/>
  <c r="D42" i="1"/>
  <c r="G40" i="1"/>
  <c r="E40" i="1"/>
  <c r="D40" i="1"/>
  <c r="F40" i="1"/>
  <c r="G123" i="1"/>
  <c r="F123" i="1"/>
  <c r="E123" i="1"/>
  <c r="D123" i="1"/>
  <c r="G31" i="1"/>
  <c r="F31" i="1"/>
  <c r="D31" i="1"/>
  <c r="E31" i="1"/>
  <c r="G39" i="1"/>
  <c r="F39" i="1"/>
  <c r="E39" i="1"/>
  <c r="D39" i="1"/>
  <c r="G68" i="1"/>
  <c r="F68" i="1"/>
  <c r="E68" i="1"/>
  <c r="D68" i="1"/>
  <c r="E29" i="1"/>
  <c r="G29" i="1"/>
  <c r="F29" i="1"/>
  <c r="D29" i="1"/>
  <c r="G83" i="1"/>
  <c r="F83" i="1"/>
  <c r="E83" i="1"/>
  <c r="D83" i="1"/>
  <c r="G69" i="1"/>
  <c r="F69" i="1"/>
  <c r="E69" i="1"/>
  <c r="D69" i="1"/>
  <c r="G82" i="1"/>
  <c r="F82" i="1"/>
  <c r="E82" i="1"/>
  <c r="D82" i="1"/>
  <c r="G67" i="1"/>
  <c r="F67" i="1"/>
  <c r="E67" i="1"/>
  <c r="D67" i="1"/>
  <c r="G56" i="1"/>
  <c r="F56" i="1"/>
  <c r="E56" i="1"/>
  <c r="D56" i="1"/>
  <c r="G130" i="1"/>
  <c r="F130" i="1"/>
  <c r="E130" i="1"/>
  <c r="D130" i="1"/>
  <c r="G30" i="1"/>
  <c r="F30" i="1"/>
  <c r="E30" i="1"/>
  <c r="D30" i="1"/>
  <c r="G148" i="1"/>
  <c r="F148" i="1"/>
  <c r="E148" i="1"/>
  <c r="D148" i="1"/>
  <c r="G131" i="1"/>
  <c r="F131" i="1"/>
  <c r="E131" i="1"/>
  <c r="D131" i="1"/>
  <c r="E132" i="1"/>
  <c r="D132" i="1"/>
  <c r="G105" i="1"/>
  <c r="F105" i="1"/>
  <c r="E105" i="1"/>
  <c r="D105" i="1"/>
  <c r="G110" i="1"/>
  <c r="F110" i="1"/>
  <c r="E110" i="1"/>
  <c r="D110" i="1"/>
  <c r="F55" i="1"/>
  <c r="E55" i="1"/>
  <c r="G55" i="1"/>
  <c r="D55" i="1"/>
  <c r="G104" i="1"/>
  <c r="F104" i="1"/>
  <c r="E104" i="1"/>
  <c r="D104" i="1"/>
  <c r="D140" i="1"/>
  <c r="G140" i="1"/>
  <c r="F140" i="1"/>
  <c r="E140" i="1"/>
  <c r="G103" i="1"/>
  <c r="F103" i="1"/>
  <c r="E103" i="1"/>
  <c r="D103" i="1"/>
  <c r="G115" i="1"/>
  <c r="F115" i="1"/>
  <c r="E115" i="1"/>
  <c r="D115" i="1"/>
  <c r="G65" i="1"/>
  <c r="F65" i="1"/>
  <c r="E65" i="1"/>
  <c r="D65" i="1"/>
  <c r="G66" i="1"/>
  <c r="F66" i="1"/>
  <c r="E66" i="1"/>
  <c r="D66" i="1"/>
  <c r="G114" i="1"/>
  <c r="F114" i="1"/>
  <c r="E114" i="1"/>
  <c r="D114" i="1"/>
  <c r="G134" i="1"/>
  <c r="F134" i="1"/>
  <c r="E134" i="1"/>
  <c r="D134" i="1"/>
  <c r="G99" i="1"/>
  <c r="F99" i="1"/>
  <c r="E99" i="1"/>
  <c r="D99" i="1"/>
  <c r="G12" i="1"/>
  <c r="F12" i="1"/>
  <c r="E12" i="1"/>
  <c r="D12" i="1"/>
  <c r="G94" i="1"/>
  <c r="F94" i="1"/>
  <c r="E94" i="1"/>
  <c r="D94" i="1"/>
  <c r="G81" i="1"/>
  <c r="F81" i="1"/>
  <c r="E81" i="1"/>
  <c r="D81" i="1"/>
  <c r="G40" i="2"/>
  <c r="F40" i="2"/>
  <c r="E40" i="2"/>
  <c r="D40" i="2"/>
  <c r="G38" i="2"/>
  <c r="F38" i="2"/>
  <c r="E38" i="2"/>
  <c r="D38" i="2"/>
  <c r="G118" i="1"/>
  <c r="F118" i="1"/>
  <c r="E118" i="1"/>
  <c r="D118" i="1"/>
  <c r="F52" i="1"/>
  <c r="E52" i="1"/>
  <c r="D52" i="1"/>
  <c r="G52" i="1"/>
  <c r="G100" i="1"/>
  <c r="F100" i="1"/>
  <c r="E100" i="1"/>
  <c r="D100" i="1"/>
  <c r="G54" i="1"/>
  <c r="F54" i="1"/>
  <c r="E54" i="1"/>
  <c r="D54" i="1"/>
  <c r="G86" i="1"/>
  <c r="F86" i="1"/>
  <c r="E86" i="1"/>
  <c r="D86" i="1"/>
  <c r="G80" i="1"/>
  <c r="F80" i="1"/>
  <c r="E80" i="1"/>
  <c r="D80" i="1"/>
  <c r="G93" i="1"/>
  <c r="F93" i="1"/>
  <c r="E93" i="1"/>
  <c r="D93" i="1"/>
  <c r="G53" i="1"/>
  <c r="F53" i="1"/>
  <c r="E53" i="1"/>
  <c r="D53" i="1"/>
  <c r="G51" i="1"/>
  <c r="F51" i="1"/>
  <c r="E51" i="1"/>
  <c r="D51" i="1"/>
  <c r="G64" i="1"/>
  <c r="F64" i="1"/>
  <c r="E64" i="1"/>
  <c r="D64" i="1"/>
  <c r="G32" i="1"/>
  <c r="E32" i="1"/>
  <c r="F32" i="1"/>
  <c r="D32" i="1"/>
  <c r="G79" i="1"/>
  <c r="F79" i="1"/>
  <c r="E79" i="1"/>
  <c r="D79" i="1"/>
  <c r="G127" i="1"/>
  <c r="F127" i="1"/>
  <c r="E127" i="1"/>
  <c r="D127" i="1"/>
  <c r="G116" i="1"/>
  <c r="F116" i="1"/>
  <c r="E116" i="1"/>
  <c r="D116" i="1"/>
  <c r="G113" i="1"/>
  <c r="F113" i="1"/>
  <c r="E113" i="1"/>
  <c r="D113" i="1"/>
  <c r="G97" i="1"/>
  <c r="F97" i="1"/>
  <c r="E97" i="1"/>
  <c r="D97" i="1"/>
  <c r="G50" i="1"/>
  <c r="F50" i="1"/>
  <c r="E50" i="1"/>
  <c r="D50" i="1"/>
  <c r="E96" i="1"/>
  <c r="G96" i="1"/>
  <c r="F96" i="1"/>
  <c r="D96" i="1"/>
  <c r="G37" i="1"/>
  <c r="F37" i="1"/>
  <c r="E37" i="1"/>
  <c r="D37" i="1"/>
  <c r="G28" i="1"/>
  <c r="F28" i="1"/>
  <c r="E28" i="1"/>
  <c r="D28" i="1"/>
  <c r="G120" i="1"/>
  <c r="F120" i="1"/>
  <c r="E120" i="1"/>
  <c r="D120" i="1"/>
  <c r="G78" i="1"/>
  <c r="F78" i="1"/>
  <c r="E78" i="1"/>
  <c r="D78" i="1"/>
  <c r="G119" i="1"/>
  <c r="F119" i="1"/>
  <c r="E119" i="1"/>
  <c r="D119" i="1"/>
  <c r="G63" i="1"/>
  <c r="F63" i="1"/>
  <c r="E63" i="1"/>
  <c r="D63" i="1"/>
  <c r="G62" i="1"/>
  <c r="F62" i="1"/>
  <c r="E62" i="1"/>
  <c r="D62" i="1"/>
  <c r="G92" i="1"/>
  <c r="F92" i="1"/>
  <c r="E92" i="1"/>
  <c r="D92" i="1"/>
  <c r="G7" i="2"/>
  <c r="F7" i="2"/>
  <c r="E7" i="2"/>
  <c r="D7" i="2"/>
  <c r="G8" i="2"/>
  <c r="F8" i="2"/>
  <c r="E8" i="2"/>
  <c r="D8" i="2"/>
  <c r="G49" i="1"/>
  <c r="F49" i="1"/>
  <c r="E49" i="1"/>
  <c r="D49" i="1"/>
  <c r="G77" i="1"/>
  <c r="F77" i="1"/>
  <c r="E77" i="1"/>
  <c r="D77" i="1"/>
  <c r="G61" i="1"/>
  <c r="E61" i="1"/>
  <c r="F61" i="1"/>
  <c r="D61" i="1"/>
  <c r="G60" i="1"/>
  <c r="F60" i="1"/>
  <c r="E60" i="1"/>
  <c r="D60" i="1"/>
  <c r="E49" i="2"/>
  <c r="E50" i="2"/>
  <c r="E51" i="2"/>
  <c r="E47" i="2"/>
  <c r="F48" i="2"/>
  <c r="F49" i="2"/>
  <c r="F50" i="2"/>
  <c r="F51" i="2"/>
  <c r="F47" i="2"/>
  <c r="G48" i="2"/>
  <c r="G49" i="2"/>
  <c r="G50" i="2"/>
  <c r="G51" i="2"/>
  <c r="G47" i="2"/>
  <c r="D48" i="2"/>
  <c r="D49" i="2"/>
  <c r="D50" i="2"/>
  <c r="D51" i="2"/>
  <c r="D47" i="2"/>
  <c r="G41" i="1"/>
  <c r="F41" i="1"/>
  <c r="E41" i="1"/>
  <c r="D41" i="1"/>
  <c r="G54" i="3"/>
  <c r="E54" i="3"/>
  <c r="F54" i="3"/>
  <c r="G55" i="3"/>
  <c r="F55" i="3"/>
  <c r="E55" i="3"/>
  <c r="D54" i="3"/>
  <c r="B36" i="3"/>
  <c r="F11" i="3"/>
  <c r="F13" i="3"/>
  <c r="F14" i="3"/>
  <c r="F16" i="3"/>
  <c r="F18" i="3"/>
  <c r="F19" i="3"/>
  <c r="F21" i="3"/>
  <c r="F22" i="3"/>
  <c r="F23" i="3"/>
  <c r="F25" i="3"/>
  <c r="F26" i="3"/>
  <c r="F27" i="3"/>
  <c r="F28" i="3"/>
  <c r="E11" i="3"/>
  <c r="E13" i="3"/>
  <c r="E14" i="3"/>
  <c r="E16" i="3"/>
  <c r="E18" i="3"/>
  <c r="E19" i="3"/>
  <c r="E21" i="3"/>
  <c r="E22" i="3"/>
  <c r="E23" i="3"/>
  <c r="E25" i="3"/>
  <c r="E26" i="3"/>
  <c r="E27" i="3"/>
  <c r="E28" i="3"/>
  <c r="G11" i="3"/>
  <c r="G13" i="3"/>
  <c r="G14" i="3"/>
  <c r="G16" i="3"/>
  <c r="G18" i="3"/>
  <c r="G19" i="3"/>
  <c r="G21" i="3"/>
  <c r="G22" i="3"/>
  <c r="G23" i="3"/>
  <c r="G25" i="3"/>
  <c r="G26" i="3"/>
  <c r="G27" i="3"/>
  <c r="G28" i="3"/>
  <c r="F29" i="3"/>
  <c r="G29" i="3"/>
  <c r="E29" i="3"/>
  <c r="D11" i="3"/>
  <c r="D13" i="3"/>
  <c r="D14" i="3"/>
  <c r="D16" i="3"/>
  <c r="D18" i="3"/>
  <c r="D19" i="3"/>
  <c r="D21" i="3"/>
  <c r="D22" i="3"/>
  <c r="D23" i="3"/>
  <c r="D25" i="3"/>
  <c r="D26" i="3"/>
  <c r="D27" i="3"/>
  <c r="D28" i="3"/>
  <c r="B8" i="3"/>
  <c r="G76" i="1"/>
  <c r="F76" i="1"/>
  <c r="E76" i="1"/>
  <c r="D76" i="1"/>
  <c r="G11" i="2"/>
  <c r="F11" i="2"/>
  <c r="E11" i="2"/>
  <c r="D11" i="2"/>
  <c r="G5" i="1"/>
  <c r="F5" i="1"/>
  <c r="E5" i="1"/>
  <c r="D5" i="1"/>
  <c r="G54" i="2"/>
  <c r="G55" i="2"/>
  <c r="G56" i="2"/>
  <c r="G53" i="2"/>
  <c r="F54" i="2"/>
  <c r="F55" i="2"/>
  <c r="F56" i="2"/>
  <c r="F53" i="2"/>
  <c r="E54" i="2"/>
  <c r="E55" i="2"/>
  <c r="E56" i="2"/>
  <c r="E53" i="2"/>
  <c r="D54" i="2"/>
  <c r="D55" i="2"/>
  <c r="D56" i="2"/>
  <c r="D53" i="2"/>
  <c r="E21" i="2"/>
  <c r="E22" i="2"/>
  <c r="E15" i="2"/>
  <c r="F21" i="2"/>
  <c r="F22" i="2"/>
  <c r="F15" i="2"/>
  <c r="G21" i="2"/>
  <c r="G22" i="2"/>
  <c r="G15" i="2"/>
  <c r="D21" i="2"/>
  <c r="D22" i="2"/>
  <c r="D15" i="2"/>
  <c r="G30" i="2"/>
  <c r="G31" i="2"/>
  <c r="G29" i="2"/>
  <c r="F30" i="2"/>
  <c r="F31" i="2"/>
  <c r="F29" i="2"/>
  <c r="E30" i="2"/>
  <c r="E31" i="2"/>
  <c r="E29" i="2"/>
  <c r="D30" i="2"/>
  <c r="D31" i="2"/>
  <c r="D29" i="2"/>
  <c r="G22" i="1"/>
  <c r="F22" i="1"/>
  <c r="E22" i="1"/>
  <c r="D22" i="1"/>
  <c r="G75" i="1"/>
  <c r="F75" i="1"/>
  <c r="E75" i="1"/>
  <c r="D75" i="1"/>
  <c r="G73" i="1"/>
  <c r="F73" i="1"/>
  <c r="E73" i="1"/>
  <c r="D73" i="1"/>
  <c r="G13" i="2"/>
  <c r="F13" i="2"/>
  <c r="E13" i="2"/>
  <c r="D13" i="2"/>
  <c r="G12" i="2"/>
  <c r="F12" i="2"/>
  <c r="E12" i="2"/>
  <c r="D12" i="2"/>
  <c r="G6" i="2"/>
  <c r="F6" i="2"/>
  <c r="D6" i="2"/>
  <c r="G59" i="1"/>
  <c r="F59" i="1"/>
  <c r="E59" i="1"/>
  <c r="D59" i="1"/>
  <c r="G11" i="1"/>
  <c r="F11" i="1"/>
  <c r="E11" i="1"/>
  <c r="D11" i="1"/>
  <c r="G8" i="1"/>
  <c r="F8" i="1"/>
  <c r="F7" i="1"/>
  <c r="E8" i="1"/>
  <c r="E7" i="1"/>
  <c r="D8" i="1"/>
  <c r="D7" i="1"/>
  <c r="G7" i="1"/>
  <c r="G48" i="1"/>
  <c r="F48" i="1"/>
  <c r="E48" i="1"/>
  <c r="D48" i="1"/>
  <c r="G47" i="1"/>
  <c r="F47" i="1"/>
  <c r="E47" i="1"/>
  <c r="D47" i="1"/>
  <c r="G36" i="1"/>
  <c r="F36" i="1"/>
  <c r="E36" i="1"/>
  <c r="D36" i="1"/>
  <c r="G27" i="1"/>
  <c r="F27" i="1"/>
  <c r="D27" i="1"/>
  <c r="G26" i="1"/>
  <c r="F26" i="1"/>
  <c r="D26" i="1"/>
  <c r="G25" i="1"/>
  <c r="F25" i="1"/>
  <c r="D25" i="1"/>
  <c r="G9" i="1"/>
  <c r="F9" i="1"/>
  <c r="E9" i="1"/>
  <c r="D9" i="1"/>
  <c r="G21" i="1"/>
  <c r="F21" i="1"/>
  <c r="E21" i="1"/>
  <c r="D21" i="1"/>
  <c r="G18" i="1"/>
  <c r="F18" i="1"/>
  <c r="E18" i="1"/>
  <c r="D18" i="1"/>
  <c r="G17" i="1"/>
  <c r="F17" i="1"/>
  <c r="E17" i="1"/>
  <c r="D17" i="1"/>
  <c r="G24" i="1"/>
  <c r="F24" i="1"/>
  <c r="E24" i="1"/>
  <c r="D24" i="1"/>
  <c r="G38" i="1"/>
  <c r="F38" i="1"/>
  <c r="E38" i="1"/>
  <c r="D38" i="1"/>
  <c r="G35" i="1"/>
  <c r="F35" i="1"/>
  <c r="E35" i="1"/>
  <c r="D35" i="1"/>
  <c r="G33" i="1"/>
  <c r="F33" i="1"/>
  <c r="E33" i="1"/>
  <c r="D33" i="1"/>
  <c r="G19" i="1"/>
  <c r="F19" i="1"/>
  <c r="E19" i="1"/>
  <c r="D19" i="1"/>
  <c r="G58" i="1"/>
  <c r="F58" i="1"/>
  <c r="E58" i="1"/>
  <c r="D58" i="1"/>
  <c r="G10" i="2"/>
  <c r="F10" i="2"/>
  <c r="E10" i="2"/>
  <c r="D10" i="2"/>
  <c r="G5" i="2"/>
  <c r="F5" i="2"/>
  <c r="E5" i="2"/>
  <c r="D5" i="2"/>
  <c r="G20" i="1"/>
  <c r="F20" i="1"/>
  <c r="E20" i="1"/>
  <c r="D20" i="1"/>
</calcChain>
</file>

<file path=xl/sharedStrings.xml><?xml version="1.0" encoding="utf-8"?>
<sst xmlns="http://schemas.openxmlformats.org/spreadsheetml/2006/main" count="458" uniqueCount="224">
  <si>
    <t>Beschreibung</t>
  </si>
  <si>
    <t>Kcal</t>
  </si>
  <si>
    <t>Kohlenhydrate</t>
  </si>
  <si>
    <t>Eiweiß</t>
  </si>
  <si>
    <t>Fett</t>
  </si>
  <si>
    <t>Rinderhackfleisch</t>
  </si>
  <si>
    <t xml:space="preserve">Bio Gemüse </t>
  </si>
  <si>
    <t>Hackfleisch mit Gemüse</t>
  </si>
  <si>
    <t>H-Milch (1,5 %)</t>
  </si>
  <si>
    <t>Whey Eiweisshake</t>
  </si>
  <si>
    <t>Hähnchen Geschnetzeltes</t>
  </si>
  <si>
    <t xml:space="preserve"> </t>
  </si>
  <si>
    <t>Bio Hackfleisch (gemischt)</t>
  </si>
  <si>
    <t>H-Vollmilch (3,5 %)</t>
  </si>
  <si>
    <t xml:space="preserve">  Impact Whey Protein (Banana Flavour) von MyProtein</t>
  </si>
  <si>
    <t>Menge</t>
  </si>
  <si>
    <t>Kidneybohnen (rot)</t>
  </si>
  <si>
    <t>Spinat</t>
  </si>
  <si>
    <t>Paranüsse</t>
  </si>
  <si>
    <t>Bemerkung</t>
  </si>
  <si>
    <t>17g = 5 Nüsse; 29,5 Nüsse pro 100g</t>
  </si>
  <si>
    <t>Zutaten (Nährwerttabelle)</t>
  </si>
  <si>
    <t>Gerichte (Nährwerttabelle)</t>
  </si>
  <si>
    <t>Macadamia Nüsse (Marke Farmer von Aldi)</t>
  </si>
  <si>
    <t>15g = 8 Nüsse; 53 Nüsse pro 100g</t>
  </si>
  <si>
    <t>Thunfisch Filet in eigenem Saft</t>
  </si>
  <si>
    <t>Frische Buttermilch, Rewe Bio</t>
  </si>
  <si>
    <t>Einheit</t>
  </si>
  <si>
    <t>Stk</t>
  </si>
  <si>
    <t>g</t>
  </si>
  <si>
    <t>ml</t>
  </si>
  <si>
    <t>Portion</t>
  </si>
  <si>
    <t>Gemischter Salat</t>
  </si>
  <si>
    <t>Liter</t>
  </si>
  <si>
    <t>Flüssigkeit</t>
  </si>
  <si>
    <t>Kaisergemüse</t>
  </si>
  <si>
    <t>Nudeln (Penne aus reinem Bio-Vollkornweizen, Bio)</t>
  </si>
  <si>
    <t>Rindersteaks (mariniert)</t>
  </si>
  <si>
    <t>Basis Müsli (5-Kornmix)</t>
  </si>
  <si>
    <t>Zarte Haferflocken (blau)</t>
  </si>
  <si>
    <t>Studentenfutter (classic)</t>
  </si>
  <si>
    <t>Jogurth mild (1,5%) (blau)</t>
  </si>
  <si>
    <t>Speisequark (Magerstufe)</t>
  </si>
  <si>
    <t>Apfelmus Bio</t>
  </si>
  <si>
    <t xml:space="preserve">  Bio Hackfleisch (gemischt)</t>
  </si>
  <si>
    <t xml:space="preserve">  Spinat</t>
  </si>
  <si>
    <t xml:space="preserve">  Kidneybohnen (rot)</t>
  </si>
  <si>
    <t>Frühstück I</t>
  </si>
  <si>
    <t xml:space="preserve">  H-Vollmilch (3,5 %)</t>
  </si>
  <si>
    <t xml:space="preserve">  Hähnchen Geschnetzeltes</t>
  </si>
  <si>
    <t xml:space="preserve">  Kaisergemüse</t>
  </si>
  <si>
    <t>Erdbeeren</t>
  </si>
  <si>
    <t>Blaubeeren</t>
  </si>
  <si>
    <t>Nussvariation (Farmer)</t>
  </si>
  <si>
    <t>Frühstück II</t>
  </si>
  <si>
    <t xml:space="preserve">    Basis Müsli (5-Kornmix)</t>
  </si>
  <si>
    <t xml:space="preserve">    Zarte Haferflocken (blau)</t>
  </si>
  <si>
    <t xml:space="preserve">    Nussvariation (Farmer)</t>
  </si>
  <si>
    <t xml:space="preserve">    Studentenfutter (classic)</t>
  </si>
  <si>
    <t xml:space="preserve">  Jogurth mild (1,5%) (blau)</t>
  </si>
  <si>
    <t>Rindersteack mit Nudeln</t>
  </si>
  <si>
    <t xml:space="preserve">  Rindersteaks (mariniert)</t>
  </si>
  <si>
    <t xml:space="preserve">  Nudeln (Penne aus reinem Bio-Vollkornweizen, Bio)</t>
  </si>
  <si>
    <t>Bio Ei (M)</t>
  </si>
  <si>
    <t xml:space="preserve">  Bio Ei (M)</t>
  </si>
  <si>
    <t>Banane</t>
  </si>
  <si>
    <t>Summe</t>
  </si>
  <si>
    <t>Basisdaten</t>
  </si>
  <si>
    <t>kcal</t>
  </si>
  <si>
    <t>Kalorienverbrauch</t>
  </si>
  <si>
    <t>Kalorienüberschuss</t>
  </si>
  <si>
    <t>Hähnchen Geschnetzeles mit Gemüse und Reis</t>
  </si>
  <si>
    <t>Basmati Reis</t>
  </si>
  <si>
    <t xml:space="preserve">  Basmati Reis</t>
  </si>
  <si>
    <t>Körniger Frischkäse</t>
  </si>
  <si>
    <t>Eiweißbrot-Mixkiste</t>
  </si>
  <si>
    <t>Gewicht:</t>
  </si>
  <si>
    <t>kg</t>
  </si>
  <si>
    <t>Apfel mit Schale</t>
  </si>
  <si>
    <t>Zwiebel</t>
  </si>
  <si>
    <t xml:space="preserve">  Zwiebel</t>
  </si>
  <si>
    <t>Activia Danone Jogurth (1,5%)</t>
  </si>
  <si>
    <t>Salatcup (Hähnchen + Bohnen)</t>
  </si>
  <si>
    <t>Eier-Baguette (von Yormas)</t>
  </si>
  <si>
    <t>Packung</t>
  </si>
  <si>
    <t>Suschi klein (Aldi)</t>
  </si>
  <si>
    <t>Laugenbreze</t>
  </si>
  <si>
    <t>Wassermelone</t>
  </si>
  <si>
    <t>Quarktasche</t>
  </si>
  <si>
    <t>Hähnchen Geschnetzeltes (Papierpackung grün)</t>
  </si>
  <si>
    <t>Buttergemüse (Aldi, gelbe Papierpackung)</t>
  </si>
  <si>
    <t>Parmesan</t>
  </si>
  <si>
    <t>Paprika (rot)</t>
  </si>
  <si>
    <t>Glas: 370g</t>
  </si>
  <si>
    <t>Bratwurst</t>
  </si>
  <si>
    <t>Semmel</t>
  </si>
  <si>
    <t>Mehrkornbröttchen</t>
  </si>
  <si>
    <t>Aprikosen Marmelade</t>
  </si>
  <si>
    <t>Birne</t>
  </si>
  <si>
    <t>Norwegisches Lachsfilet mit Haut</t>
  </si>
  <si>
    <t>Packung: 300g</t>
  </si>
  <si>
    <t>Feta Käse (Patros Leicht - mild-würzig)</t>
  </si>
  <si>
    <t>Packung: 150g</t>
  </si>
  <si>
    <t>Tomaten</t>
  </si>
  <si>
    <t>Kopfsalat</t>
  </si>
  <si>
    <t>Dose: 150g (Abtropfgewicht)</t>
  </si>
  <si>
    <t>Bio Jogurth und Knuspermüsli</t>
  </si>
  <si>
    <t>Becher: 150g</t>
  </si>
  <si>
    <t>Avocado</t>
  </si>
  <si>
    <t>Broccoli-Rösschen (tiefgefroren)</t>
  </si>
  <si>
    <t>Packung: 170g</t>
  </si>
  <si>
    <t>Eine Portion entspricht 20g</t>
  </si>
  <si>
    <t>Cocktailtomaten</t>
  </si>
  <si>
    <t>Mehrkornsemmeln mit Leinsamen und Sonnenblumenkernen</t>
  </si>
  <si>
    <t>Packung: 160g; Semmel: 80g</t>
  </si>
  <si>
    <t>Hanf Protein Eiweisshake</t>
  </si>
  <si>
    <t>Packung: 200g</t>
  </si>
  <si>
    <t>Kiwi</t>
  </si>
  <si>
    <t>Joghurt Crips (Schoko-Chips)</t>
  </si>
  <si>
    <t>McDonals Snack Wrap Caesar</t>
  </si>
  <si>
    <t>Speisequark</t>
  </si>
  <si>
    <t>Gebratener Speck</t>
  </si>
  <si>
    <t>Breze</t>
  </si>
  <si>
    <t>Butter</t>
  </si>
  <si>
    <t>Cappuccino</t>
  </si>
  <si>
    <t>Tasse: 160ml</t>
  </si>
  <si>
    <t>Weizenbrötchen</t>
  </si>
  <si>
    <t>Mittelgroßes Brötchen: 60g</t>
  </si>
  <si>
    <t>Krustenbraten gebacken, hauchfein geschnitten</t>
  </si>
  <si>
    <t>Putenbrust Filet-Rouladen</t>
  </si>
  <si>
    <t>Fajita Rindfleisch und Hähnchen (Schätzung)</t>
  </si>
  <si>
    <t>Packung: 400g, Stück: 200g</t>
  </si>
  <si>
    <t>Kleine Hand voll: 25g</t>
  </si>
  <si>
    <t>Babybel</t>
  </si>
  <si>
    <t xml:space="preserve"> Stk</t>
  </si>
  <si>
    <t>Packung: 400g</t>
  </si>
  <si>
    <t>Rote Kidneybohnen (Dose)</t>
  </si>
  <si>
    <t>Dose (Abtropfgewicht): 255g</t>
  </si>
  <si>
    <t>Chili con Carne (Fertigmischung)</t>
  </si>
  <si>
    <t>Emmentaler Käse</t>
  </si>
  <si>
    <t>Scheibe = 30 g</t>
  </si>
  <si>
    <t xml:space="preserve">Augustiner Helles </t>
  </si>
  <si>
    <t>True Fruits Green Smoothie</t>
  </si>
  <si>
    <t>Flasche: 250ml</t>
  </si>
  <si>
    <t>Vollkorn Sandwitch mit Ei und Speck</t>
  </si>
  <si>
    <t>Minutensteaks (Schwein)</t>
  </si>
  <si>
    <t>Packung: 400g, Stück: 80g</t>
  </si>
  <si>
    <t>O-Saft</t>
  </si>
  <si>
    <t>Zuchini</t>
  </si>
  <si>
    <t>Emmentaler (gerieben) von Aldi</t>
  </si>
  <si>
    <t>Soft-Datteln</t>
  </si>
  <si>
    <t>Bio Mozerella</t>
  </si>
  <si>
    <t>Packung (Abtropfgewicht): 125g</t>
  </si>
  <si>
    <t>Mango</t>
  </si>
  <si>
    <t>Hähnchen Minutenschnitzel</t>
  </si>
  <si>
    <t>Emmentaler in Scheiben von Aldi</t>
  </si>
  <si>
    <t>1 Scheibe = 28g</t>
  </si>
  <si>
    <t>Dinkel Vollkorn Locken (Bio von DM)</t>
  </si>
  <si>
    <t>Puten-Ministeaks</t>
  </si>
  <si>
    <t>Pro Breze: 85 g</t>
  </si>
  <si>
    <t>Nutella</t>
  </si>
  <si>
    <t>Rapunzel Dinkel-Spirelli Vollkorn</t>
  </si>
  <si>
    <t>Milchreis</t>
  </si>
  <si>
    <t>Kokosnussmilch</t>
  </si>
  <si>
    <t>Alnatura Kokosöl nativ</t>
  </si>
  <si>
    <t xml:space="preserve">  Kokosnussmilch</t>
  </si>
  <si>
    <t>Frühstück II mit Kokosnussmilch</t>
  </si>
  <si>
    <t>Brombeeren</t>
  </si>
  <si>
    <t>Süßkartoffeln</t>
  </si>
  <si>
    <t>Schnitzel Münchner Art</t>
  </si>
  <si>
    <t>Milchschnitte</t>
  </si>
  <si>
    <t>Bratkartoffeln</t>
  </si>
  <si>
    <t>Extreme Iso Whey von (Chocolate Flavour) von Body Attack</t>
  </si>
  <si>
    <t xml:space="preserve">  Extreme Iso Whey von (Chocolate Flavour) von Body Attack</t>
  </si>
  <si>
    <t>Whey Eiweisshake II mit Kokosnussmilch</t>
  </si>
  <si>
    <t>McDonalds Chickenburger</t>
  </si>
  <si>
    <t>Raab Vitalfood Hanf Protein</t>
  </si>
  <si>
    <t xml:space="preserve">  Raab Vitalfood Hanf Protein</t>
  </si>
  <si>
    <t>Hanf Protein Eiweisshake mit Kokosnussmilch</t>
  </si>
  <si>
    <t>Frühlingsrolle (Aldi)</t>
  </si>
  <si>
    <t>Himbeeren</t>
  </si>
  <si>
    <t>Packung: 450g</t>
  </si>
  <si>
    <t>Sushi (Durchschnitt)</t>
  </si>
  <si>
    <t>Dürum</t>
  </si>
  <si>
    <t>Stück: 350g</t>
  </si>
  <si>
    <t>Alpenmark Cremiger Weichkäse (45 % Fett)</t>
  </si>
  <si>
    <t>Rinderbraten mit Soße</t>
  </si>
  <si>
    <t>Gesamt: 160g (80g pro Seite, ausgehüllt)</t>
  </si>
  <si>
    <t>Eine Seite ohne Schale und Kern: 75g</t>
  </si>
  <si>
    <t>Kinder Pinguin</t>
  </si>
  <si>
    <t>Dose: 255g (Abtropfgewicht)</t>
  </si>
  <si>
    <t>1/2 Händchen</t>
  </si>
  <si>
    <t>Stück: 250g</t>
  </si>
  <si>
    <t>Schinken Vollkorn-Baguett (von Yormas)</t>
  </si>
  <si>
    <t>Bauernbrot</t>
  </si>
  <si>
    <t>Müller Milchreis Zimt</t>
  </si>
  <si>
    <t>Becher: 200g</t>
  </si>
  <si>
    <t>Caffe Latte Cappuccino</t>
  </si>
  <si>
    <t>Gemischter Salat, mit Dressing</t>
  </si>
  <si>
    <t>Portion: 165g</t>
  </si>
  <si>
    <t>Magnum Classic</t>
  </si>
  <si>
    <t>Rap Hähnchen Streifen mit Paprika und Zwiebel</t>
  </si>
  <si>
    <t>Handgemachter Hinterschicken</t>
  </si>
  <si>
    <t>Sauerbraten</t>
  </si>
  <si>
    <t>Portion: 250g</t>
  </si>
  <si>
    <t>Eiersalat mit Spargel und Champignons (Aldi)</t>
  </si>
  <si>
    <t>Frischkäse-Fass (Alpenmark, blau)</t>
  </si>
  <si>
    <t>Kartoffeln</t>
  </si>
  <si>
    <t>Original Französischer Weichkäse</t>
  </si>
  <si>
    <t>Packung: 175g</t>
  </si>
  <si>
    <t>Bemerkung: Die meisten der hier aufgeführten Zutaten wurden beim Lebensmitteldiscounter Aldi gekauft.</t>
  </si>
  <si>
    <t>Getränke</t>
  </si>
  <si>
    <t>Süßes</t>
  </si>
  <si>
    <t>Gerichte</t>
  </si>
  <si>
    <t>Brötchen / Brot / Gebäck</t>
  </si>
  <si>
    <t>Body Attack Carb Control High Protein Riegel</t>
  </si>
  <si>
    <t>Seltene Nahrung</t>
  </si>
  <si>
    <t xml:space="preserve">  Müsli-Mix by Ubermind</t>
  </si>
  <si>
    <t>Gesamtumsatz</t>
  </si>
  <si>
    <t>Berechnung</t>
  </si>
  <si>
    <t>Benutzung: Den einzelnen Tag immer kopieren, die alten Wert rauslöschen und die Werte vom Tabellenblatt "Zutaten" oder "Gerichte" reinkopieren.</t>
  </si>
  <si>
    <t>Tracking</t>
  </si>
  <si>
    <t>Bemerkung: Gerichte müssen auf das Tabellenblatt "Tracking" immer mit Einfügen -&gt; Werte kopiert werden, ansonsten übernimmt Excel die Formeln.</t>
  </si>
  <si>
    <t>20.09.2016 - Vorlage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</si>
</sst>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 tint="0.499984740745262"/>
      <name val="Calibri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sz val="12"/>
      <color theme="0" tint="-0.249977111117893"/>
      <name val="Calibri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quotePrefix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7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/>
    <xf numFmtId="1" fontId="0" fillId="0" borderId="0" xfId="0" applyNumberFormat="1" applyFont="1" applyAlignment="1">
      <alignment horizontal="center"/>
    </xf>
    <xf numFmtId="0" fontId="0" fillId="0" borderId="0" xfId="0" applyFont="1"/>
    <xf numFmtId="0" fontId="8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/>
    <xf numFmtId="1" fontId="6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/>
    <xf numFmtId="9" fontId="0" fillId="0" borderId="0" xfId="9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10"/>
    <xf numFmtId="0" fontId="7" fillId="0" borderId="0" xfId="0" applyFont="1"/>
    <xf numFmtId="1" fontId="2" fillId="0" borderId="0" xfId="0" applyNumberFormat="1" applyFont="1" applyAlignment="1">
      <alignment horizontal="center"/>
    </xf>
    <xf numFmtId="0" fontId="10" fillId="0" borderId="0" xfId="0" applyFont="1"/>
  </cellXfs>
  <cellStyles count="1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Prozent" xfId="9" builtinId="5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bermind.de/out/raab-hanfproteinpulver" TargetMode="External"/><Relationship Id="rId2" Type="http://schemas.openxmlformats.org/officeDocument/2006/relationships/hyperlink" Target="http://ubermind.de/out/body-attack-whey-extreme" TargetMode="External"/><Relationship Id="rId3" Type="http://schemas.openxmlformats.org/officeDocument/2006/relationships/hyperlink" Target="http://ubermind.de/out/carb-control-protein-rieg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sundepfunde.com/grundumsatz-leistungsumsatz-gesamtumsatz-berechn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workbookViewId="0">
      <selection activeCell="A19" sqref="A19"/>
    </sheetView>
  </sheetViews>
  <sheetFormatPr baseColWidth="10" defaultRowHeight="16" x14ac:dyDescent="0.2"/>
  <cols>
    <col min="1" max="1" width="50.5" customWidth="1"/>
    <col min="2" max="3" width="11" style="2" customWidth="1"/>
    <col min="4" max="4" width="12.83203125" style="17" bestFit="1" customWidth="1"/>
    <col min="5" max="5" width="13.5" style="17" bestFit="1" customWidth="1"/>
    <col min="6" max="7" width="11.83203125" style="17" bestFit="1" customWidth="1"/>
  </cols>
  <sheetData>
    <row r="1" spans="1:11" ht="21" x14ac:dyDescent="0.25">
      <c r="A1" s="1" t="s">
        <v>21</v>
      </c>
      <c r="B1" s="6"/>
      <c r="C1" s="6"/>
    </row>
    <row r="2" spans="1:11" s="30" customFormat="1" ht="16" customHeight="1" x14ac:dyDescent="0.2">
      <c r="A2" s="39" t="s">
        <v>210</v>
      </c>
      <c r="B2" s="34"/>
      <c r="C2" s="34"/>
      <c r="D2" s="38"/>
      <c r="E2" s="38"/>
      <c r="F2" s="38"/>
      <c r="G2" s="38"/>
    </row>
    <row r="3" spans="1:11" ht="21" x14ac:dyDescent="0.25">
      <c r="A3" s="1"/>
      <c r="B3" s="6"/>
      <c r="C3" s="6"/>
    </row>
    <row r="4" spans="1:11" s="9" customFormat="1" x14ac:dyDescent="0.2">
      <c r="A4" s="7" t="s">
        <v>0</v>
      </c>
      <c r="B4" s="8" t="s">
        <v>15</v>
      </c>
      <c r="C4" s="8" t="s">
        <v>27</v>
      </c>
      <c r="D4" s="18" t="s">
        <v>1</v>
      </c>
      <c r="E4" s="18" t="s">
        <v>2</v>
      </c>
      <c r="F4" s="18" t="s">
        <v>3</v>
      </c>
      <c r="G4" s="18" t="s">
        <v>4</v>
      </c>
      <c r="H4" s="8" t="s">
        <v>19</v>
      </c>
    </row>
    <row r="5" spans="1:11" x14ac:dyDescent="0.2">
      <c r="A5" t="s">
        <v>63</v>
      </c>
      <c r="B5" s="2">
        <v>1</v>
      </c>
      <c r="C5" s="2" t="s">
        <v>28</v>
      </c>
      <c r="D5" s="17">
        <f>97*B5</f>
        <v>97</v>
      </c>
      <c r="E5" s="17">
        <f>0.6*B5</f>
        <v>0.6</v>
      </c>
      <c r="F5" s="17">
        <f>13*B5</f>
        <v>13</v>
      </c>
      <c r="G5" s="17">
        <f>11*B5</f>
        <v>11</v>
      </c>
    </row>
    <row r="6" spans="1:11" x14ac:dyDescent="0.2">
      <c r="K6" s="5"/>
    </row>
    <row r="7" spans="1:11" x14ac:dyDescent="0.2">
      <c r="A7" t="s">
        <v>8</v>
      </c>
      <c r="B7" s="2">
        <v>100</v>
      </c>
      <c r="C7" s="2" t="s">
        <v>30</v>
      </c>
      <c r="D7" s="17">
        <f>47/100*B7</f>
        <v>47</v>
      </c>
      <c r="E7" s="17">
        <f>4.9/100*B7</f>
        <v>4.9000000000000004</v>
      </c>
      <c r="F7" s="17">
        <f>3.4/100*B7</f>
        <v>3.4000000000000004</v>
      </c>
      <c r="G7" s="17">
        <f t="shared" ref="G7" si="0">1.5/100*B7</f>
        <v>1.5</v>
      </c>
    </row>
    <row r="8" spans="1:11" x14ac:dyDescent="0.2">
      <c r="A8" t="s">
        <v>13</v>
      </c>
      <c r="B8" s="2">
        <v>100</v>
      </c>
      <c r="C8" s="2" t="s">
        <v>30</v>
      </c>
      <c r="D8" s="17">
        <f>64/100*B8</f>
        <v>64</v>
      </c>
      <c r="E8" s="17">
        <f>4.8/100*B8</f>
        <v>4.8</v>
      </c>
      <c r="F8" s="17">
        <f>3.3/100*B8</f>
        <v>3.3000000000000003</v>
      </c>
      <c r="G8" s="17">
        <f>3.5/100*B8</f>
        <v>3.5000000000000004</v>
      </c>
    </row>
    <row r="9" spans="1:11" x14ac:dyDescent="0.2">
      <c r="A9" t="s">
        <v>41</v>
      </c>
      <c r="B9" s="2">
        <v>100</v>
      </c>
      <c r="C9" s="2" t="s">
        <v>29</v>
      </c>
      <c r="D9" s="17">
        <f>54/100*B9</f>
        <v>54</v>
      </c>
      <c r="E9" s="17">
        <f>6/100*B9</f>
        <v>6</v>
      </c>
      <c r="F9" s="17">
        <f>4.1/100*B9</f>
        <v>4.0999999999999996</v>
      </c>
      <c r="G9" s="17">
        <f>1.5/100*B9</f>
        <v>1.5</v>
      </c>
    </row>
    <row r="10" spans="1:11" x14ac:dyDescent="0.2">
      <c r="A10" t="s">
        <v>163</v>
      </c>
      <c r="B10" s="2">
        <v>100</v>
      </c>
      <c r="C10" s="2" t="s">
        <v>30</v>
      </c>
      <c r="D10" s="17">
        <f>201/100*B10</f>
        <v>200.99999999999997</v>
      </c>
      <c r="E10" s="17">
        <f>2.2/100*B10</f>
        <v>2.2000000000000002</v>
      </c>
      <c r="F10" s="17">
        <f>2.3/100*B10</f>
        <v>2.2999999999999998</v>
      </c>
      <c r="G10" s="17">
        <f>20/100*B10</f>
        <v>20</v>
      </c>
    </row>
    <row r="11" spans="1:11" x14ac:dyDescent="0.2">
      <c r="A11" t="s">
        <v>42</v>
      </c>
      <c r="B11" s="2">
        <v>100</v>
      </c>
      <c r="C11" s="2" t="s">
        <v>29</v>
      </c>
      <c r="D11" s="17">
        <f>66/100*B11</f>
        <v>66</v>
      </c>
      <c r="E11" s="17">
        <f>4.1/100*B11</f>
        <v>4.0999999999999996</v>
      </c>
      <c r="F11" s="17">
        <f>12/100*B11</f>
        <v>12</v>
      </c>
      <c r="G11" s="17">
        <f>0.2/100*B11</f>
        <v>0.2</v>
      </c>
    </row>
    <row r="12" spans="1:11" x14ac:dyDescent="0.2">
      <c r="A12" t="s">
        <v>120</v>
      </c>
      <c r="B12" s="2">
        <v>100</v>
      </c>
      <c r="C12" s="2" t="s">
        <v>29</v>
      </c>
      <c r="D12" s="17">
        <f>141/100*B12</f>
        <v>141</v>
      </c>
      <c r="E12" s="17">
        <f>3.7/100*B12</f>
        <v>3.7000000000000006</v>
      </c>
      <c r="F12" s="17">
        <f>9/100*B12</f>
        <v>9</v>
      </c>
      <c r="G12" s="17">
        <f>10/100*B12</f>
        <v>10</v>
      </c>
    </row>
    <row r="14" spans="1:11" x14ac:dyDescent="0.2">
      <c r="A14" s="36" t="s">
        <v>172</v>
      </c>
      <c r="B14" s="2">
        <v>30</v>
      </c>
      <c r="C14" s="2" t="s">
        <v>29</v>
      </c>
      <c r="D14" s="17">
        <f>377/100*B14</f>
        <v>113.1</v>
      </c>
      <c r="E14" s="17">
        <f>4.3/100*B14</f>
        <v>1.2899999999999998</v>
      </c>
      <c r="F14" s="17">
        <f>86/100*B14</f>
        <v>25.8</v>
      </c>
      <c r="G14" s="17">
        <f>1.5/100*B14</f>
        <v>0.44999999999999996</v>
      </c>
    </row>
    <row r="15" spans="1:11" x14ac:dyDescent="0.2">
      <c r="A15" s="36" t="s">
        <v>176</v>
      </c>
      <c r="B15" s="2">
        <v>25</v>
      </c>
      <c r="C15" s="2" t="s">
        <v>29</v>
      </c>
      <c r="D15" s="17">
        <f>400/100*B15</f>
        <v>100</v>
      </c>
      <c r="E15" s="17">
        <f>23/100*B15</f>
        <v>5.75</v>
      </c>
      <c r="F15" s="17">
        <f>49/100*B15</f>
        <v>12.25</v>
      </c>
      <c r="G15" s="17">
        <f>11/100*B15</f>
        <v>2.75</v>
      </c>
    </row>
    <row r="17" spans="1:8" x14ac:dyDescent="0.2">
      <c r="A17" t="s">
        <v>38</v>
      </c>
      <c r="B17" s="2">
        <v>100</v>
      </c>
      <c r="C17" s="2" t="s">
        <v>29</v>
      </c>
      <c r="D17" s="17">
        <f>366/100*B17</f>
        <v>366</v>
      </c>
      <c r="E17" s="17">
        <f>56.4/100*B17</f>
        <v>56.399999999999991</v>
      </c>
      <c r="F17" s="17">
        <f>12.4/100*B17</f>
        <v>12.4</v>
      </c>
      <c r="G17" s="17">
        <f>7.6/100*B17</f>
        <v>7.6</v>
      </c>
    </row>
    <row r="18" spans="1:8" x14ac:dyDescent="0.2">
      <c r="A18" t="s">
        <v>39</v>
      </c>
      <c r="B18" s="2">
        <v>100</v>
      </c>
      <c r="C18" s="2" t="s">
        <v>29</v>
      </c>
      <c r="D18" s="17">
        <f>372/100*B18</f>
        <v>372</v>
      </c>
      <c r="E18" s="17">
        <f>58.7/100*B18</f>
        <v>58.70000000000001</v>
      </c>
      <c r="F18" s="17">
        <f>13.5/100*B18</f>
        <v>13.5</v>
      </c>
      <c r="G18" s="17">
        <f>7/100*B18</f>
        <v>7.0000000000000009</v>
      </c>
    </row>
    <row r="19" spans="1:8" x14ac:dyDescent="0.2">
      <c r="A19" t="s">
        <v>23</v>
      </c>
      <c r="B19" s="2">
        <v>1</v>
      </c>
      <c r="C19" s="2" t="s">
        <v>28</v>
      </c>
      <c r="D19" s="17">
        <f>745/53*B19</f>
        <v>14.056603773584905</v>
      </c>
      <c r="E19" s="17">
        <f>4.2/53*B19</f>
        <v>7.9245283018867935E-2</v>
      </c>
      <c r="F19" s="17">
        <f>9.3/53*B19</f>
        <v>0.17547169811320756</v>
      </c>
      <c r="G19" s="17">
        <f>75.2/53*B19</f>
        <v>1.418867924528302</v>
      </c>
      <c r="H19" t="s">
        <v>24</v>
      </c>
    </row>
    <row r="20" spans="1:8" x14ac:dyDescent="0.2">
      <c r="A20" t="s">
        <v>18</v>
      </c>
      <c r="B20" s="2">
        <v>1</v>
      </c>
      <c r="C20" s="2" t="s">
        <v>28</v>
      </c>
      <c r="D20" s="17">
        <f>687/29.5</f>
        <v>23.288135593220339</v>
      </c>
      <c r="E20" s="17">
        <f>3.6/29.5</f>
        <v>0.12203389830508475</v>
      </c>
      <c r="F20" s="17">
        <f>14/29.5</f>
        <v>0.47457627118644069</v>
      </c>
      <c r="G20" s="17">
        <f>67/29.5</f>
        <v>2.2711864406779663</v>
      </c>
      <c r="H20" t="s">
        <v>20</v>
      </c>
    </row>
    <row r="21" spans="1:8" x14ac:dyDescent="0.2">
      <c r="A21" t="s">
        <v>40</v>
      </c>
      <c r="B21" s="2">
        <v>100</v>
      </c>
      <c r="C21" s="2" t="s">
        <v>29</v>
      </c>
      <c r="D21" s="17">
        <f>514/100*B21</f>
        <v>514</v>
      </c>
      <c r="E21" s="17">
        <f>33/100*B21</f>
        <v>33</v>
      </c>
      <c r="F21" s="17">
        <f>12/100*B21</f>
        <v>12</v>
      </c>
      <c r="G21" s="17">
        <f>35/100*B21</f>
        <v>35</v>
      </c>
      <c r="H21" t="s">
        <v>132</v>
      </c>
    </row>
    <row r="22" spans="1:8" x14ac:dyDescent="0.2">
      <c r="A22" t="s">
        <v>53</v>
      </c>
      <c r="B22" s="2">
        <v>100</v>
      </c>
      <c r="C22" s="2" t="s">
        <v>29</v>
      </c>
      <c r="D22" s="17">
        <f>647/100*B22</f>
        <v>647</v>
      </c>
      <c r="E22" s="17">
        <f>5.8/100*B22</f>
        <v>5.8</v>
      </c>
      <c r="F22" s="17">
        <f>19/100*B22</f>
        <v>19</v>
      </c>
      <c r="G22" s="17">
        <f>59/100*B22</f>
        <v>59</v>
      </c>
    </row>
    <row r="24" spans="1:8" x14ac:dyDescent="0.2">
      <c r="A24" t="s">
        <v>37</v>
      </c>
      <c r="B24" s="2">
        <v>100</v>
      </c>
      <c r="C24" s="2" t="s">
        <v>29</v>
      </c>
      <c r="D24" s="17">
        <f>142/100*B24</f>
        <v>142</v>
      </c>
      <c r="E24" s="17">
        <f>0.7/100*B24</f>
        <v>0.7</v>
      </c>
      <c r="F24" s="17">
        <f>21/100*B24</f>
        <v>21</v>
      </c>
      <c r="G24" s="17">
        <f>6/100*B24</f>
        <v>6</v>
      </c>
      <c r="H24" t="s">
        <v>131</v>
      </c>
    </row>
    <row r="25" spans="1:8" x14ac:dyDescent="0.2">
      <c r="A25" t="s">
        <v>5</v>
      </c>
      <c r="B25" s="2">
        <v>100</v>
      </c>
      <c r="C25" s="2" t="s">
        <v>29</v>
      </c>
      <c r="D25" s="17">
        <f>243/100*B25</f>
        <v>243.00000000000003</v>
      </c>
      <c r="E25" s="17">
        <v>0</v>
      </c>
      <c r="F25" s="17">
        <f>18/100*B25</f>
        <v>18</v>
      </c>
      <c r="G25" s="17">
        <f>19/100*B25</f>
        <v>19</v>
      </c>
    </row>
    <row r="26" spans="1:8" x14ac:dyDescent="0.2">
      <c r="A26" t="s">
        <v>12</v>
      </c>
      <c r="B26" s="2">
        <v>100</v>
      </c>
      <c r="C26" s="2" t="s">
        <v>29</v>
      </c>
      <c r="D26" s="17">
        <f>234/100*B26</f>
        <v>234</v>
      </c>
      <c r="E26" s="17">
        <v>0</v>
      </c>
      <c r="F26" s="17">
        <f>18/100*B26</f>
        <v>18</v>
      </c>
      <c r="G26" s="17">
        <f>18/100*B26</f>
        <v>18</v>
      </c>
      <c r="H26" t="s">
        <v>135</v>
      </c>
    </row>
    <row r="27" spans="1:8" x14ac:dyDescent="0.2">
      <c r="A27" t="s">
        <v>10</v>
      </c>
      <c r="B27" s="2">
        <v>100</v>
      </c>
      <c r="C27" s="2" t="s">
        <v>29</v>
      </c>
      <c r="D27" s="17">
        <f>99/100*B27</f>
        <v>99</v>
      </c>
      <c r="E27" s="17">
        <v>0</v>
      </c>
      <c r="F27" s="17">
        <f>23/100*B27</f>
        <v>23</v>
      </c>
      <c r="G27" s="17">
        <f>0.8/100*B27</f>
        <v>0.8</v>
      </c>
    </row>
    <row r="28" spans="1:8" x14ac:dyDescent="0.2">
      <c r="A28" t="s">
        <v>89</v>
      </c>
      <c r="B28" s="2">
        <v>100</v>
      </c>
      <c r="C28" s="2" t="s">
        <v>29</v>
      </c>
      <c r="D28" s="17">
        <f>105/100*B28</f>
        <v>105</v>
      </c>
      <c r="E28" s="17">
        <f>0.7/100*B28</f>
        <v>0.7</v>
      </c>
      <c r="F28" s="17">
        <f>21/100*B28</f>
        <v>21</v>
      </c>
      <c r="G28" s="17">
        <f>2/100*B28</f>
        <v>2</v>
      </c>
    </row>
    <row r="29" spans="1:8" x14ac:dyDescent="0.2">
      <c r="A29" t="s">
        <v>154</v>
      </c>
      <c r="B29" s="2">
        <v>100</v>
      </c>
      <c r="C29" s="2" t="s">
        <v>29</v>
      </c>
      <c r="D29" s="17">
        <f>99/100*B29</f>
        <v>99</v>
      </c>
      <c r="E29" s="17">
        <f>0/100*B29</f>
        <v>0</v>
      </c>
      <c r="F29" s="17">
        <f>23/100*B29</f>
        <v>23</v>
      </c>
      <c r="G29" s="17">
        <f>0.8/100*B29</f>
        <v>0.8</v>
      </c>
    </row>
    <row r="30" spans="1:8" x14ac:dyDescent="0.2">
      <c r="A30" t="s">
        <v>145</v>
      </c>
      <c r="B30" s="2">
        <v>100</v>
      </c>
      <c r="C30" s="2" t="s">
        <v>29</v>
      </c>
      <c r="D30" s="17">
        <f>120/100*B30</f>
        <v>120</v>
      </c>
      <c r="E30" s="17">
        <f>0/100*B30</f>
        <v>0</v>
      </c>
      <c r="F30" s="17">
        <f>22/100*B30</f>
        <v>22</v>
      </c>
      <c r="G30" s="17">
        <f>3.5/100*B30</f>
        <v>3.5000000000000004</v>
      </c>
      <c r="H30" t="s">
        <v>146</v>
      </c>
    </row>
    <row r="31" spans="1:8" x14ac:dyDescent="0.2">
      <c r="A31" t="s">
        <v>158</v>
      </c>
      <c r="B31" s="2">
        <v>100</v>
      </c>
      <c r="C31" s="2" t="s">
        <v>29</v>
      </c>
      <c r="D31" s="17">
        <f>107/100*B31</f>
        <v>107</v>
      </c>
      <c r="E31" s="17">
        <f>0/100*B31</f>
        <v>0</v>
      </c>
      <c r="F31" s="17">
        <f>24/100*B31</f>
        <v>24</v>
      </c>
      <c r="G31" s="17">
        <f>1.2/100*B31</f>
        <v>1.2</v>
      </c>
      <c r="H31" t="s">
        <v>135</v>
      </c>
    </row>
    <row r="32" spans="1:8" x14ac:dyDescent="0.2">
      <c r="A32" t="s">
        <v>99</v>
      </c>
      <c r="B32" s="2">
        <v>100</v>
      </c>
      <c r="C32" s="2" t="s">
        <v>29</v>
      </c>
      <c r="D32" s="17">
        <f>233/100*B32</f>
        <v>233</v>
      </c>
      <c r="E32" s="17">
        <f>0/100*B32</f>
        <v>0</v>
      </c>
      <c r="F32" s="17">
        <f>18.4/100*B32</f>
        <v>18.399999999999999</v>
      </c>
      <c r="G32" s="17">
        <f>16.6/100*B32</f>
        <v>16.600000000000001</v>
      </c>
      <c r="H32" t="s">
        <v>100</v>
      </c>
    </row>
    <row r="33" spans="1:8" x14ac:dyDescent="0.2">
      <c r="A33" t="s">
        <v>25</v>
      </c>
      <c r="B33" s="2">
        <v>100</v>
      </c>
      <c r="C33" s="2" t="s">
        <v>29</v>
      </c>
      <c r="D33" s="17">
        <f>111/100*B33</f>
        <v>111.00000000000001</v>
      </c>
      <c r="E33" s="17">
        <f>0.1/100*B33</f>
        <v>0.1</v>
      </c>
      <c r="F33" s="17">
        <f>25.5/100*B33</f>
        <v>25.5</v>
      </c>
      <c r="G33" s="17">
        <f>1/100*B33</f>
        <v>1</v>
      </c>
      <c r="H33" t="s">
        <v>105</v>
      </c>
    </row>
    <row r="35" spans="1:8" x14ac:dyDescent="0.2">
      <c r="A35" t="s">
        <v>35</v>
      </c>
      <c r="B35" s="2">
        <v>100</v>
      </c>
      <c r="C35" s="2" t="s">
        <v>29</v>
      </c>
      <c r="D35" s="17">
        <f>31/100*B35</f>
        <v>31</v>
      </c>
      <c r="E35" s="17">
        <f>3.2/100*B35</f>
        <v>3.2</v>
      </c>
      <c r="F35" s="17">
        <f>2.3/100*B35</f>
        <v>2.2999999999999998</v>
      </c>
      <c r="G35" s="17">
        <f>0.5/100*B35</f>
        <v>0.5</v>
      </c>
    </row>
    <row r="36" spans="1:8" x14ac:dyDescent="0.2">
      <c r="A36" t="s">
        <v>6</v>
      </c>
      <c r="B36" s="2">
        <v>100</v>
      </c>
      <c r="C36" s="2" t="s">
        <v>29</v>
      </c>
      <c r="D36" s="17">
        <f>27/100*B36</f>
        <v>27</v>
      </c>
      <c r="E36" s="17">
        <f>2.9/100*B36</f>
        <v>2.9</v>
      </c>
      <c r="F36" s="17">
        <f>1.7/100*B36</f>
        <v>1.7000000000000002</v>
      </c>
      <c r="G36" s="17">
        <f>0.3/100*B36</f>
        <v>0.3</v>
      </c>
    </row>
    <row r="37" spans="1:8" x14ac:dyDescent="0.2">
      <c r="A37" t="s">
        <v>90</v>
      </c>
      <c r="B37" s="2">
        <v>100</v>
      </c>
      <c r="C37" s="2" t="s">
        <v>29</v>
      </c>
      <c r="D37" s="17">
        <f>97/100*B37</f>
        <v>97</v>
      </c>
      <c r="E37" s="17">
        <f>7.8/100*B37</f>
        <v>7.8</v>
      </c>
      <c r="F37" s="17">
        <f>2.7/100*B37</f>
        <v>2.7</v>
      </c>
      <c r="G37" s="17">
        <f>5.3/100*B37</f>
        <v>5.3</v>
      </c>
    </row>
    <row r="38" spans="1:8" x14ac:dyDescent="0.2">
      <c r="A38" t="s">
        <v>36</v>
      </c>
      <c r="B38" s="2">
        <v>100</v>
      </c>
      <c r="C38" s="2" t="s">
        <v>29</v>
      </c>
      <c r="D38" s="17">
        <f>345/100*B38</f>
        <v>345</v>
      </c>
      <c r="E38" s="17">
        <f>63/100*B38</f>
        <v>63</v>
      </c>
      <c r="F38" s="17">
        <f>14/100*B38</f>
        <v>14.000000000000002</v>
      </c>
      <c r="G38" s="17">
        <f>2/100*B38</f>
        <v>2</v>
      </c>
    </row>
    <row r="39" spans="1:8" x14ac:dyDescent="0.2">
      <c r="A39" t="s">
        <v>157</v>
      </c>
      <c r="B39" s="2">
        <v>100</v>
      </c>
      <c r="C39" s="2" t="s">
        <v>29</v>
      </c>
      <c r="D39" s="17">
        <f>361/100*B39</f>
        <v>361</v>
      </c>
      <c r="E39" s="17">
        <f>66/100*B39</f>
        <v>66</v>
      </c>
      <c r="F39" s="17">
        <f>13/100*B39</f>
        <v>13</v>
      </c>
      <c r="G39" s="17">
        <f>3.1/100*B39</f>
        <v>3.1</v>
      </c>
    </row>
    <row r="40" spans="1:8" x14ac:dyDescent="0.2">
      <c r="A40" t="s">
        <v>161</v>
      </c>
      <c r="B40" s="2">
        <v>100</v>
      </c>
      <c r="C40" s="2" t="s">
        <v>29</v>
      </c>
      <c r="D40" s="17">
        <f>344/100*B40</f>
        <v>344</v>
      </c>
      <c r="E40" s="17">
        <f>64/100*B40</f>
        <v>64</v>
      </c>
      <c r="F40" s="17">
        <f>13/100*B40</f>
        <v>13</v>
      </c>
      <c r="G40" s="17">
        <f>1.7/100*B40</f>
        <v>1.7000000000000002</v>
      </c>
    </row>
    <row r="41" spans="1:8" x14ac:dyDescent="0.2">
      <c r="A41" t="s">
        <v>72</v>
      </c>
      <c r="B41" s="2">
        <v>100</v>
      </c>
      <c r="C41" s="2" t="s">
        <v>29</v>
      </c>
      <c r="D41" s="17">
        <f>352/100*B41</f>
        <v>352</v>
      </c>
      <c r="E41" s="17">
        <f>76.7/100*B41</f>
        <v>76.7</v>
      </c>
      <c r="F41" s="17">
        <f>8.4/100*B41</f>
        <v>8.4</v>
      </c>
      <c r="G41" s="17">
        <f>1/100*B41</f>
        <v>1</v>
      </c>
    </row>
    <row r="42" spans="1:8" x14ac:dyDescent="0.2">
      <c r="A42" t="s">
        <v>162</v>
      </c>
      <c r="B42" s="2">
        <v>100</v>
      </c>
      <c r="C42" s="2" t="s">
        <v>29</v>
      </c>
      <c r="D42" s="17">
        <f>358/100*B42</f>
        <v>358</v>
      </c>
      <c r="E42" s="17">
        <f>80.5/100*B42</f>
        <v>80.5</v>
      </c>
      <c r="F42" s="17">
        <f>6.4/100*B42</f>
        <v>6.4</v>
      </c>
      <c r="G42" s="17">
        <f>0.9/100*B42</f>
        <v>0.90000000000000013</v>
      </c>
    </row>
    <row r="43" spans="1:8" x14ac:dyDescent="0.2">
      <c r="A43" t="s">
        <v>195</v>
      </c>
      <c r="B43" s="2">
        <v>100</v>
      </c>
      <c r="C43" s="2" t="s">
        <v>29</v>
      </c>
      <c r="D43" s="17">
        <f>109/100*B43</f>
        <v>109.00000000000001</v>
      </c>
      <c r="E43" s="17">
        <f>18.5/100*B43</f>
        <v>18.5</v>
      </c>
      <c r="F43" s="17">
        <f>3.2/100*B43</f>
        <v>3.2</v>
      </c>
      <c r="G43" s="17">
        <f>2.4/100*B43</f>
        <v>2.4</v>
      </c>
      <c r="H43" t="s">
        <v>196</v>
      </c>
    </row>
    <row r="44" spans="1:8" x14ac:dyDescent="0.2">
      <c r="A44" t="s">
        <v>168</v>
      </c>
      <c r="B44" s="2">
        <v>100</v>
      </c>
      <c r="C44" s="2" t="s">
        <v>29</v>
      </c>
      <c r="D44" s="17">
        <f>86/100*B44</f>
        <v>86</v>
      </c>
      <c r="E44" s="17">
        <f>20/100*B44</f>
        <v>20</v>
      </c>
      <c r="F44" s="17">
        <f>1.6/100*B44</f>
        <v>1.6</v>
      </c>
      <c r="G44" s="17">
        <f>0.1/100*B44</f>
        <v>0.1</v>
      </c>
    </row>
    <row r="45" spans="1:8" x14ac:dyDescent="0.2">
      <c r="A45" t="s">
        <v>207</v>
      </c>
      <c r="B45" s="2">
        <v>100</v>
      </c>
      <c r="C45" s="2" t="s">
        <v>29</v>
      </c>
      <c r="D45" s="17">
        <f>73/100*B45</f>
        <v>73</v>
      </c>
      <c r="E45" s="17">
        <f>15/100*B45</f>
        <v>15</v>
      </c>
      <c r="F45" s="17">
        <f>1.3/100*B45</f>
        <v>1.3</v>
      </c>
      <c r="G45" s="17">
        <f>0.1/100*B45</f>
        <v>0.1</v>
      </c>
    </row>
    <row r="47" spans="1:8" x14ac:dyDescent="0.2">
      <c r="A47" t="s">
        <v>16</v>
      </c>
      <c r="B47" s="2">
        <v>100</v>
      </c>
      <c r="C47" s="2" t="s">
        <v>29</v>
      </c>
      <c r="D47" s="17">
        <f>107/100*B47</f>
        <v>107</v>
      </c>
      <c r="E47" s="17">
        <f>15.2/100*B47</f>
        <v>15.2</v>
      </c>
      <c r="F47" s="17">
        <f>7.3/100*B47</f>
        <v>7.3</v>
      </c>
      <c r="G47" s="17">
        <f>0.4/100*B47</f>
        <v>0.4</v>
      </c>
      <c r="H47" t="s">
        <v>190</v>
      </c>
    </row>
    <row r="48" spans="1:8" x14ac:dyDescent="0.2">
      <c r="A48" t="s">
        <v>17</v>
      </c>
      <c r="B48" s="2">
        <v>100</v>
      </c>
      <c r="C48" s="2" t="s">
        <v>29</v>
      </c>
      <c r="D48" s="17">
        <f>60/100*B48</f>
        <v>60</v>
      </c>
      <c r="E48" s="17">
        <f>3.3/100*B48</f>
        <v>3.3000000000000003</v>
      </c>
      <c r="F48" s="17">
        <f>3.6/100*B48</f>
        <v>3.6000000000000005</v>
      </c>
      <c r="G48" s="17">
        <f>3.2/100*B48</f>
        <v>3.2</v>
      </c>
      <c r="H48" t="s">
        <v>181</v>
      </c>
    </row>
    <row r="49" spans="1:8" x14ac:dyDescent="0.2">
      <c r="A49" t="s">
        <v>79</v>
      </c>
      <c r="B49" s="2">
        <v>100</v>
      </c>
      <c r="C49" s="2" t="s">
        <v>29</v>
      </c>
      <c r="D49" s="17">
        <f>40/100*B49</f>
        <v>40</v>
      </c>
      <c r="E49" s="17">
        <f>9.3/100*B49</f>
        <v>9.3000000000000007</v>
      </c>
      <c r="F49" s="17">
        <f>1.1/100*B49</f>
        <v>1.1000000000000001</v>
      </c>
      <c r="G49" s="17">
        <f>0.1/100*B49</f>
        <v>0.1</v>
      </c>
    </row>
    <row r="50" spans="1:8" x14ac:dyDescent="0.2">
      <c r="A50" t="s">
        <v>92</v>
      </c>
      <c r="B50" s="2">
        <v>100</v>
      </c>
      <c r="C50" s="2" t="s">
        <v>29</v>
      </c>
      <c r="D50" s="17">
        <f>35/100*B50</f>
        <v>35</v>
      </c>
      <c r="E50" s="17">
        <f>6/100*B50</f>
        <v>6</v>
      </c>
      <c r="F50" s="17">
        <f>1/100*B50</f>
        <v>1</v>
      </c>
      <c r="G50" s="17">
        <f>0.3/100*B50</f>
        <v>0.3</v>
      </c>
      <c r="H50" t="s">
        <v>187</v>
      </c>
    </row>
    <row r="51" spans="1:8" x14ac:dyDescent="0.2">
      <c r="A51" t="s">
        <v>103</v>
      </c>
      <c r="B51" s="2">
        <v>100</v>
      </c>
      <c r="C51" s="2" t="s">
        <v>29</v>
      </c>
      <c r="D51" s="17">
        <f>18/100*B51</f>
        <v>18</v>
      </c>
      <c r="E51" s="17">
        <f>3.9/100*B51</f>
        <v>3.9</v>
      </c>
      <c r="F51" s="17">
        <f>0.9/100*B51</f>
        <v>0.90000000000000013</v>
      </c>
      <c r="G51" s="17">
        <f>0.2/100*B51</f>
        <v>0.2</v>
      </c>
    </row>
    <row r="52" spans="1:8" x14ac:dyDescent="0.2">
      <c r="A52" t="s">
        <v>112</v>
      </c>
      <c r="B52" s="2">
        <v>100</v>
      </c>
      <c r="C52" s="2" t="s">
        <v>29</v>
      </c>
      <c r="D52" s="17">
        <f>19/100*B52</f>
        <v>19</v>
      </c>
      <c r="E52" s="17">
        <f>3/100*B52</f>
        <v>3</v>
      </c>
      <c r="F52" s="17">
        <f>1/100*B52</f>
        <v>1</v>
      </c>
      <c r="G52" s="17">
        <f>0.2/100*B52</f>
        <v>0.2</v>
      </c>
    </row>
    <row r="53" spans="1:8" x14ac:dyDescent="0.2">
      <c r="A53" t="s">
        <v>104</v>
      </c>
      <c r="B53" s="2">
        <v>100</v>
      </c>
      <c r="C53" s="2" t="s">
        <v>29</v>
      </c>
      <c r="D53" s="17">
        <f>14/100*B53</f>
        <v>14.000000000000002</v>
      </c>
      <c r="E53" s="17">
        <f>1.1/100*B53</f>
        <v>1.1000000000000001</v>
      </c>
      <c r="F53" s="17">
        <f>1.2/100*B53</f>
        <v>1.2</v>
      </c>
      <c r="G53" s="17">
        <f>0.2/100*B53</f>
        <v>0.2</v>
      </c>
    </row>
    <row r="54" spans="1:8" x14ac:dyDescent="0.2">
      <c r="A54" t="s">
        <v>109</v>
      </c>
      <c r="B54" s="2">
        <v>100</v>
      </c>
      <c r="C54" s="2" t="s">
        <v>29</v>
      </c>
      <c r="D54" s="17">
        <f>27/100*B54</f>
        <v>27</v>
      </c>
      <c r="E54" s="17">
        <f>1.4/100*B54</f>
        <v>1.4</v>
      </c>
      <c r="F54" s="17">
        <f>3.8/100*B54</f>
        <v>3.8</v>
      </c>
      <c r="G54" s="17">
        <f>0.4/100*B54</f>
        <v>0.4</v>
      </c>
    </row>
    <row r="55" spans="1:8" x14ac:dyDescent="0.2">
      <c r="A55" t="s">
        <v>136</v>
      </c>
      <c r="B55" s="2">
        <v>100</v>
      </c>
      <c r="C55" s="2" t="s">
        <v>29</v>
      </c>
      <c r="D55" s="17">
        <f>107/100*B55</f>
        <v>107</v>
      </c>
      <c r="E55" s="17">
        <f>15.2/100*B55</f>
        <v>15.2</v>
      </c>
      <c r="F55" s="17">
        <f>7.3/100*B55</f>
        <v>7.3</v>
      </c>
      <c r="G55" s="17">
        <f t="shared" ref="G55" si="1">0.4/100*B55</f>
        <v>0.4</v>
      </c>
      <c r="H55" t="s">
        <v>137</v>
      </c>
    </row>
    <row r="56" spans="1:8" x14ac:dyDescent="0.2">
      <c r="A56" t="s">
        <v>148</v>
      </c>
      <c r="B56" s="2">
        <v>100</v>
      </c>
      <c r="C56" s="2" t="s">
        <v>29</v>
      </c>
      <c r="D56" s="17">
        <f>21/100*B56</f>
        <v>21</v>
      </c>
      <c r="E56" s="17">
        <f>2.1/100*B56</f>
        <v>2.1</v>
      </c>
      <c r="F56" s="17">
        <f>1.6/100*B56</f>
        <v>1.6</v>
      </c>
      <c r="G56" s="17">
        <f>0.4/100*B56</f>
        <v>0.4</v>
      </c>
    </row>
    <row r="58" spans="1:8" x14ac:dyDescent="0.2">
      <c r="A58" t="s">
        <v>26</v>
      </c>
      <c r="B58" s="2">
        <v>100</v>
      </c>
      <c r="C58" s="2" t="s">
        <v>30</v>
      </c>
      <c r="D58" s="17">
        <f>35/100*B58</f>
        <v>35</v>
      </c>
      <c r="E58" s="17">
        <f>4/100*B58</f>
        <v>4</v>
      </c>
      <c r="F58" s="17">
        <f>0.5/100*B58</f>
        <v>0.5</v>
      </c>
      <c r="G58" s="17">
        <f>3.5/100*B58</f>
        <v>3.5000000000000004</v>
      </c>
    </row>
    <row r="59" spans="1:8" x14ac:dyDescent="0.2">
      <c r="A59" t="s">
        <v>43</v>
      </c>
      <c r="B59" s="2">
        <v>100</v>
      </c>
      <c r="C59" s="2" t="s">
        <v>29</v>
      </c>
      <c r="D59" s="17">
        <f>85/100*B59</f>
        <v>85</v>
      </c>
      <c r="E59" s="17">
        <f>18/100*B59</f>
        <v>18</v>
      </c>
      <c r="F59" s="17">
        <f>0.3/100*B59</f>
        <v>0.3</v>
      </c>
      <c r="G59" s="17">
        <f>0.4/100*B59</f>
        <v>0.4</v>
      </c>
      <c r="H59" t="s">
        <v>93</v>
      </c>
    </row>
    <row r="60" spans="1:8" x14ac:dyDescent="0.2">
      <c r="A60" t="s">
        <v>74</v>
      </c>
      <c r="B60" s="2">
        <v>100</v>
      </c>
      <c r="C60" s="2" t="s">
        <v>29</v>
      </c>
      <c r="D60" s="17">
        <f>70/100*B60</f>
        <v>70</v>
      </c>
      <c r="E60" s="17">
        <f>1.6/100*B60</f>
        <v>1.6</v>
      </c>
      <c r="F60" s="17">
        <f>15/100*B60</f>
        <v>15</v>
      </c>
      <c r="G60" s="17">
        <f>0.5/100*B60</f>
        <v>0.5</v>
      </c>
      <c r="H60" t="s">
        <v>116</v>
      </c>
    </row>
    <row r="61" spans="1:8" x14ac:dyDescent="0.2">
      <c r="A61" t="s">
        <v>75</v>
      </c>
      <c r="B61" s="2">
        <v>1</v>
      </c>
      <c r="C61" s="2" t="s">
        <v>28</v>
      </c>
      <c r="D61" s="17">
        <f>123*B61</f>
        <v>123</v>
      </c>
      <c r="E61" s="17">
        <f>5.3*B61</f>
        <v>5.3</v>
      </c>
      <c r="F61" s="17">
        <f>7.9*B61</f>
        <v>7.9</v>
      </c>
      <c r="G61" s="17">
        <f>7.2*B61</f>
        <v>7.2</v>
      </c>
    </row>
    <row r="62" spans="1:8" x14ac:dyDescent="0.2">
      <c r="A62" t="s">
        <v>82</v>
      </c>
      <c r="B62" s="2">
        <v>300</v>
      </c>
      <c r="C62" s="2" t="s">
        <v>29</v>
      </c>
      <c r="D62" s="17">
        <f>340/300*B62</f>
        <v>340</v>
      </c>
      <c r="E62" s="17">
        <f>29.4/300*B62</f>
        <v>29.4</v>
      </c>
      <c r="F62" s="17">
        <f>10.4/300*B62</f>
        <v>10.4</v>
      </c>
      <c r="G62" s="17">
        <f>6.3/300*B62</f>
        <v>6.2999999999999989</v>
      </c>
    </row>
    <row r="63" spans="1:8" x14ac:dyDescent="0.2">
      <c r="A63" t="s">
        <v>85</v>
      </c>
      <c r="B63" s="2">
        <v>1</v>
      </c>
      <c r="C63" s="2" t="s">
        <v>84</v>
      </c>
      <c r="D63" s="17">
        <f>293*B63</f>
        <v>293</v>
      </c>
      <c r="E63" s="17">
        <f>53/B63</f>
        <v>53</v>
      </c>
      <c r="F63" s="17">
        <f>5.2*B63</f>
        <v>5.2</v>
      </c>
      <c r="G63" s="17">
        <f>2.4*B63</f>
        <v>2.4</v>
      </c>
    </row>
    <row r="64" spans="1:8" x14ac:dyDescent="0.2">
      <c r="A64" t="s">
        <v>101</v>
      </c>
      <c r="B64" s="2">
        <v>100</v>
      </c>
      <c r="C64" s="2" t="s">
        <v>29</v>
      </c>
      <c r="D64" s="17">
        <f>219/100*B64</f>
        <v>219</v>
      </c>
      <c r="E64" s="17">
        <f>1/100*B64</f>
        <v>1</v>
      </c>
      <c r="F64" s="17">
        <f>20/100*B64</f>
        <v>20</v>
      </c>
      <c r="G64" s="17">
        <f>15/100*B64</f>
        <v>15</v>
      </c>
      <c r="H64" t="s">
        <v>102</v>
      </c>
    </row>
    <row r="65" spans="1:8" x14ac:dyDescent="0.2">
      <c r="A65" t="s">
        <v>129</v>
      </c>
      <c r="B65" s="2">
        <v>100</v>
      </c>
      <c r="C65" s="2" t="s">
        <v>29</v>
      </c>
      <c r="D65" s="17">
        <f>107/100*B65</f>
        <v>107</v>
      </c>
      <c r="E65" s="17">
        <f>1/100*B65</f>
        <v>1</v>
      </c>
      <c r="F65" s="17">
        <f>21.2/100*B65</f>
        <v>21.2</v>
      </c>
      <c r="G65" s="17">
        <f>2/100*B65</f>
        <v>2</v>
      </c>
    </row>
    <row r="66" spans="1:8" x14ac:dyDescent="0.2">
      <c r="A66" t="s">
        <v>128</v>
      </c>
      <c r="B66" s="2">
        <v>100</v>
      </c>
      <c r="C66" s="2" t="s">
        <v>29</v>
      </c>
      <c r="D66" s="17">
        <f>111/100*B66</f>
        <v>111.00000000000001</v>
      </c>
      <c r="E66" s="17">
        <f>1/100*B66</f>
        <v>1</v>
      </c>
      <c r="F66" s="17">
        <f>20/100*B66</f>
        <v>20</v>
      </c>
      <c r="G66" s="17">
        <f>3/100*B66</f>
        <v>3</v>
      </c>
    </row>
    <row r="67" spans="1:8" x14ac:dyDescent="0.2">
      <c r="A67" t="s">
        <v>149</v>
      </c>
      <c r="B67" s="2">
        <v>100</v>
      </c>
      <c r="C67" s="2" t="s">
        <v>29</v>
      </c>
      <c r="D67" s="17">
        <f>379/100*B67</f>
        <v>379</v>
      </c>
      <c r="E67" s="17">
        <f>2.4/100*B67</f>
        <v>2.4</v>
      </c>
      <c r="F67" s="17">
        <f>27/100*B67</f>
        <v>27</v>
      </c>
      <c r="G67" s="17">
        <f>29/100*B67</f>
        <v>28.999999999999996</v>
      </c>
      <c r="H67" t="s">
        <v>116</v>
      </c>
    </row>
    <row r="68" spans="1:8" x14ac:dyDescent="0.2">
      <c r="A68" t="s">
        <v>155</v>
      </c>
      <c r="B68" s="2">
        <v>100</v>
      </c>
      <c r="C68" s="2" t="s">
        <v>29</v>
      </c>
      <c r="D68" s="17">
        <f>382/100*B68</f>
        <v>382</v>
      </c>
      <c r="E68" s="17">
        <f>0/100*B68</f>
        <v>0</v>
      </c>
      <c r="F68" s="17">
        <f>28/100*B68</f>
        <v>28.000000000000004</v>
      </c>
      <c r="G68" s="17">
        <f>30/100*B68</f>
        <v>30</v>
      </c>
      <c r="H68" t="s">
        <v>156</v>
      </c>
    </row>
    <row r="69" spans="1:8" x14ac:dyDescent="0.2">
      <c r="A69" t="s">
        <v>151</v>
      </c>
      <c r="B69" s="2">
        <v>100</v>
      </c>
      <c r="C69" s="2" t="s">
        <v>29</v>
      </c>
      <c r="D69" s="17">
        <f>251/100*B69</f>
        <v>250.99999999999997</v>
      </c>
      <c r="E69" s="17">
        <f>1/100*B69</f>
        <v>1</v>
      </c>
      <c r="F69" s="17">
        <f>19/100*B69</f>
        <v>19</v>
      </c>
      <c r="G69" s="17">
        <f>19/100*B69</f>
        <v>19</v>
      </c>
      <c r="H69" t="s">
        <v>152</v>
      </c>
    </row>
    <row r="70" spans="1:8" x14ac:dyDescent="0.2">
      <c r="A70" t="s">
        <v>185</v>
      </c>
      <c r="B70" s="2">
        <v>100</v>
      </c>
      <c r="C70" s="2" t="s">
        <v>29</v>
      </c>
      <c r="D70" s="17">
        <f>271/100*B70</f>
        <v>271</v>
      </c>
      <c r="E70" s="17">
        <f>0/100*B70</f>
        <v>0</v>
      </c>
      <c r="F70" s="17">
        <f>20/100*B70</f>
        <v>20</v>
      </c>
      <c r="G70" s="17">
        <f>21/100*B70</f>
        <v>21</v>
      </c>
      <c r="H70" t="s">
        <v>102</v>
      </c>
    </row>
    <row r="71" spans="1:8" x14ac:dyDescent="0.2">
      <c r="A71" t="s">
        <v>202</v>
      </c>
      <c r="B71" s="2">
        <v>100</v>
      </c>
      <c r="C71" s="2" t="s">
        <v>29</v>
      </c>
      <c r="D71" s="17">
        <f>134/100*B71</f>
        <v>134</v>
      </c>
      <c r="E71" s="17">
        <f>1/100*B71</f>
        <v>1</v>
      </c>
      <c r="F71" s="17">
        <f>21/100*B71</f>
        <v>21</v>
      </c>
      <c r="G71" s="17">
        <f>5/100*B71</f>
        <v>5</v>
      </c>
    </row>
    <row r="73" spans="1:8" x14ac:dyDescent="0.2">
      <c r="A73" t="s">
        <v>51</v>
      </c>
      <c r="B73" s="2">
        <v>100</v>
      </c>
      <c r="C73" s="2" t="s">
        <v>29</v>
      </c>
      <c r="D73" s="17">
        <f>32/100*B73</f>
        <v>32</v>
      </c>
      <c r="E73" s="17">
        <f>5.4/100*B73</f>
        <v>5.4</v>
      </c>
      <c r="F73" s="17">
        <f>0.8/100*B73</f>
        <v>0.8</v>
      </c>
      <c r="G73" s="17">
        <f>0.4/100*B73</f>
        <v>0.4</v>
      </c>
    </row>
    <row r="74" spans="1:8" x14ac:dyDescent="0.2">
      <c r="A74" t="s">
        <v>180</v>
      </c>
      <c r="B74" s="2">
        <v>100</v>
      </c>
      <c r="C74" s="2" t="s">
        <v>29</v>
      </c>
      <c r="D74" s="17">
        <f>43/100*B74</f>
        <v>43</v>
      </c>
      <c r="E74" s="17">
        <f>4.8/100*B74</f>
        <v>4.8</v>
      </c>
      <c r="F74" s="17">
        <f>1.3/100*B74</f>
        <v>1.3</v>
      </c>
      <c r="G74" s="17">
        <f>0.3/100*B74</f>
        <v>0.3</v>
      </c>
    </row>
    <row r="75" spans="1:8" x14ac:dyDescent="0.2">
      <c r="A75" t="s">
        <v>52</v>
      </c>
      <c r="B75" s="2">
        <v>100</v>
      </c>
      <c r="C75" s="2" t="s">
        <v>29</v>
      </c>
      <c r="D75" s="17">
        <f>42/100*B75</f>
        <v>42</v>
      </c>
      <c r="E75" s="17">
        <f>7.4/100*B75</f>
        <v>7.4000000000000012</v>
      </c>
      <c r="F75" s="17">
        <f>0.6/100*B75</f>
        <v>0.6</v>
      </c>
      <c r="G75" s="17">
        <f>0.6/100*B75</f>
        <v>0.6</v>
      </c>
    </row>
    <row r="76" spans="1:8" x14ac:dyDescent="0.2">
      <c r="A76" t="s">
        <v>65</v>
      </c>
      <c r="B76" s="2">
        <v>100</v>
      </c>
      <c r="C76" s="2" t="s">
        <v>29</v>
      </c>
      <c r="D76" s="17">
        <f>90/100*B76</f>
        <v>90</v>
      </c>
      <c r="E76" s="17">
        <f>20/100*B76</f>
        <v>20</v>
      </c>
      <c r="F76" s="17">
        <f>1.2/100*B76</f>
        <v>1.2</v>
      </c>
      <c r="G76" s="17">
        <f>0.2/100*B76</f>
        <v>0.2</v>
      </c>
    </row>
    <row r="77" spans="1:8" x14ac:dyDescent="0.2">
      <c r="A77" t="s">
        <v>78</v>
      </c>
      <c r="B77" s="2">
        <v>100</v>
      </c>
      <c r="C77" s="2" t="s">
        <v>29</v>
      </c>
      <c r="D77" s="17">
        <f>52/100*B77</f>
        <v>52</v>
      </c>
      <c r="E77" s="17">
        <f>11.4/100*B77</f>
        <v>11.4</v>
      </c>
      <c r="F77" s="17">
        <f>0.3/100*B77</f>
        <v>0.3</v>
      </c>
      <c r="G77" s="17">
        <f>0.4/100*B77</f>
        <v>0.4</v>
      </c>
    </row>
    <row r="78" spans="1:8" x14ac:dyDescent="0.2">
      <c r="A78" t="s">
        <v>87</v>
      </c>
      <c r="B78" s="2">
        <v>100</v>
      </c>
      <c r="C78" s="2" t="s">
        <v>29</v>
      </c>
      <c r="D78" s="17">
        <f>38/100*B78</f>
        <v>38</v>
      </c>
      <c r="E78" s="17">
        <f>8.3/100*B78</f>
        <v>8.3000000000000007</v>
      </c>
      <c r="F78" s="17">
        <f>0.6/100*B78</f>
        <v>0.6</v>
      </c>
      <c r="G78" s="17">
        <f>0.2/100*B78</f>
        <v>0.2</v>
      </c>
    </row>
    <row r="79" spans="1:8" x14ac:dyDescent="0.2">
      <c r="A79" t="s">
        <v>98</v>
      </c>
      <c r="B79" s="2">
        <v>100</v>
      </c>
      <c r="C79" s="2" t="s">
        <v>29</v>
      </c>
      <c r="D79" s="17">
        <f>52/100*B79</f>
        <v>52</v>
      </c>
      <c r="E79" s="17">
        <f>12.4/100*B79</f>
        <v>12.4</v>
      </c>
      <c r="F79" s="17">
        <f>0.5/100*B79</f>
        <v>0.5</v>
      </c>
      <c r="G79" s="17">
        <f>0.3/100*B79</f>
        <v>0.3</v>
      </c>
    </row>
    <row r="80" spans="1:8" x14ac:dyDescent="0.2">
      <c r="A80" t="s">
        <v>108</v>
      </c>
      <c r="B80" s="2">
        <v>100</v>
      </c>
      <c r="C80" s="2" t="s">
        <v>29</v>
      </c>
      <c r="D80" s="17">
        <f>138/100*B80</f>
        <v>138</v>
      </c>
      <c r="E80" s="17">
        <f>3.6/100*B80</f>
        <v>3.6000000000000005</v>
      </c>
      <c r="F80" s="17">
        <f>1.4/100*B80</f>
        <v>1.4</v>
      </c>
      <c r="G80" s="17">
        <f>12.5/100*B80</f>
        <v>12.5</v>
      </c>
      <c r="H80" t="s">
        <v>188</v>
      </c>
    </row>
    <row r="81" spans="1:8" x14ac:dyDescent="0.2">
      <c r="A81" t="s">
        <v>117</v>
      </c>
      <c r="B81" s="2">
        <v>100</v>
      </c>
      <c r="C81" s="2" t="s">
        <v>29</v>
      </c>
      <c r="D81" s="17">
        <f>62/100*B81</f>
        <v>62</v>
      </c>
      <c r="E81" s="17">
        <f>9.1/100*B81</f>
        <v>9.1</v>
      </c>
      <c r="F81" s="17">
        <f>1/100*B81</f>
        <v>1</v>
      </c>
      <c r="G81" s="17">
        <f>0.6/100*B81</f>
        <v>0.6</v>
      </c>
    </row>
    <row r="82" spans="1:8" x14ac:dyDescent="0.2">
      <c r="A82" t="s">
        <v>150</v>
      </c>
      <c r="B82" s="2">
        <v>100</v>
      </c>
      <c r="C82" s="2" t="s">
        <v>29</v>
      </c>
      <c r="D82" s="17">
        <f>284/100*B82</f>
        <v>284</v>
      </c>
      <c r="E82" s="17">
        <f>65/100*B82</f>
        <v>65</v>
      </c>
      <c r="F82" s="17">
        <f>2.1/100*B82</f>
        <v>2.1</v>
      </c>
      <c r="G82" s="17">
        <f>0.2/100*B82</f>
        <v>0.2</v>
      </c>
    </row>
    <row r="83" spans="1:8" x14ac:dyDescent="0.2">
      <c r="A83" t="s">
        <v>153</v>
      </c>
      <c r="B83" s="2">
        <v>100</v>
      </c>
      <c r="C83" s="2" t="s">
        <v>29</v>
      </c>
      <c r="D83" s="17">
        <f>62/100*B83</f>
        <v>62</v>
      </c>
      <c r="E83" s="17">
        <f>12.5/100*B83</f>
        <v>12.5</v>
      </c>
      <c r="F83" s="17">
        <f>0.6/100*B83</f>
        <v>0.6</v>
      </c>
      <c r="G83" s="17">
        <f>0.4/100*B83</f>
        <v>0.4</v>
      </c>
    </row>
    <row r="84" spans="1:8" x14ac:dyDescent="0.2">
      <c r="A84" t="s">
        <v>167</v>
      </c>
      <c r="B84" s="2">
        <v>100</v>
      </c>
      <c r="C84" s="2" t="s">
        <v>29</v>
      </c>
      <c r="D84" s="17">
        <f>43/100*B84</f>
        <v>43</v>
      </c>
      <c r="E84" s="17">
        <f>6.2/100*B84</f>
        <v>6.2</v>
      </c>
      <c r="F84" s="17">
        <f>1.2/100*B84</f>
        <v>1.2</v>
      </c>
      <c r="G84" s="17">
        <f>1/100*B84</f>
        <v>1</v>
      </c>
    </row>
    <row r="86" spans="1:8" x14ac:dyDescent="0.2">
      <c r="A86" s="36" t="s">
        <v>215</v>
      </c>
      <c r="B86" s="2">
        <v>100</v>
      </c>
      <c r="C86" s="2" t="s">
        <v>29</v>
      </c>
      <c r="D86" s="17">
        <f>352/100*B86</f>
        <v>352</v>
      </c>
      <c r="E86" s="17">
        <f>27/100*B86</f>
        <v>27</v>
      </c>
      <c r="F86" s="17">
        <f>45/100*B86</f>
        <v>45</v>
      </c>
      <c r="G86" s="17">
        <f>10/100*B86</f>
        <v>10</v>
      </c>
    </row>
    <row r="87" spans="1:8" x14ac:dyDescent="0.2">
      <c r="A87" t="s">
        <v>164</v>
      </c>
      <c r="B87" s="2">
        <v>100</v>
      </c>
      <c r="C87" s="2" t="s">
        <v>30</v>
      </c>
      <c r="D87" s="17">
        <f>828/100*B87</f>
        <v>827.99999999999989</v>
      </c>
      <c r="E87" s="17">
        <f>0/100*B87</f>
        <v>0</v>
      </c>
      <c r="F87" s="17">
        <f>0/100*B87</f>
        <v>0</v>
      </c>
      <c r="G87" s="17">
        <f>92/100*B87</f>
        <v>92</v>
      </c>
    </row>
    <row r="90" spans="1:8" ht="19" x14ac:dyDescent="0.25">
      <c r="A90" s="37" t="s">
        <v>216</v>
      </c>
    </row>
    <row r="91" spans="1:8" ht="19" x14ac:dyDescent="0.25">
      <c r="A91" s="37"/>
    </row>
    <row r="92" spans="1:8" x14ac:dyDescent="0.2">
      <c r="A92" t="s">
        <v>81</v>
      </c>
      <c r="B92" s="2">
        <v>100</v>
      </c>
      <c r="C92" s="2" t="s">
        <v>29</v>
      </c>
      <c r="D92" s="17">
        <f>105/100*B92</f>
        <v>105</v>
      </c>
      <c r="E92" s="17">
        <f>17/100*B92</f>
        <v>17</v>
      </c>
      <c r="F92" s="17">
        <f>5.4/100*B92</f>
        <v>5.4</v>
      </c>
      <c r="G92" s="17">
        <f>1.6/100*B92</f>
        <v>1.6</v>
      </c>
    </row>
    <row r="93" spans="1:8" x14ac:dyDescent="0.2">
      <c r="A93" t="s">
        <v>106</v>
      </c>
      <c r="B93" s="2">
        <v>100</v>
      </c>
      <c r="C93" s="2" t="s">
        <v>29</v>
      </c>
      <c r="D93" s="17">
        <f>150/100*B93</f>
        <v>150</v>
      </c>
      <c r="E93" s="17">
        <f>22/100*B93</f>
        <v>22</v>
      </c>
      <c r="F93" s="17">
        <f>4.9/100*B93</f>
        <v>4.9000000000000004</v>
      </c>
      <c r="G93" s="17">
        <f>4.2/100*B93</f>
        <v>4.2</v>
      </c>
      <c r="H93" t="s">
        <v>107</v>
      </c>
    </row>
    <row r="94" spans="1:8" x14ac:dyDescent="0.2">
      <c r="A94" t="s">
        <v>118</v>
      </c>
      <c r="B94" s="2">
        <v>100</v>
      </c>
      <c r="C94" s="2" t="s">
        <v>29</v>
      </c>
      <c r="D94" s="17">
        <f>141/100*B94</f>
        <v>141</v>
      </c>
      <c r="E94" s="17">
        <f>19/100*B94</f>
        <v>19</v>
      </c>
      <c r="F94" s="17">
        <f>4/100*B94</f>
        <v>4</v>
      </c>
      <c r="G94" s="17">
        <f>4.8/100*B94</f>
        <v>4.8</v>
      </c>
    </row>
    <row r="96" spans="1:8" x14ac:dyDescent="0.2">
      <c r="A96" t="s">
        <v>91</v>
      </c>
      <c r="B96" s="2">
        <v>30</v>
      </c>
      <c r="C96" s="2" t="s">
        <v>29</v>
      </c>
      <c r="D96" s="17">
        <f>140/30*B96</f>
        <v>140</v>
      </c>
      <c r="E96" s="17">
        <f>0.6/30*B96</f>
        <v>0.6</v>
      </c>
      <c r="F96" s="17">
        <f>12.7/30*B96</f>
        <v>12.7</v>
      </c>
      <c r="G96" s="17">
        <f>9.5/30*B96</f>
        <v>9.5</v>
      </c>
    </row>
    <row r="97" spans="1:8" x14ac:dyDescent="0.2">
      <c r="A97" t="s">
        <v>94</v>
      </c>
      <c r="B97" s="2">
        <v>100</v>
      </c>
      <c r="C97" s="2" t="s">
        <v>29</v>
      </c>
      <c r="D97" s="17">
        <f>239/100*B97</f>
        <v>239</v>
      </c>
      <c r="E97" s="17">
        <f>1/100*B97</f>
        <v>1</v>
      </c>
      <c r="F97" s="17">
        <f>18/100*B97</f>
        <v>18</v>
      </c>
      <c r="G97" s="17">
        <f>18/100*B97</f>
        <v>18</v>
      </c>
    </row>
    <row r="98" spans="1:8" x14ac:dyDescent="0.2">
      <c r="A98" t="s">
        <v>203</v>
      </c>
      <c r="B98" s="2">
        <v>100</v>
      </c>
      <c r="C98" s="2" t="s">
        <v>29</v>
      </c>
      <c r="D98" s="17">
        <f>114/100*B98</f>
        <v>113.99999999999999</v>
      </c>
      <c r="E98" s="17">
        <f>3.6/100*B98</f>
        <v>3.6000000000000005</v>
      </c>
      <c r="F98" s="17">
        <f>8/100*B98</f>
        <v>8</v>
      </c>
      <c r="G98" s="17">
        <f>7.4/100*B98</f>
        <v>7.4000000000000012</v>
      </c>
    </row>
    <row r="99" spans="1:8" x14ac:dyDescent="0.2">
      <c r="A99" t="s">
        <v>121</v>
      </c>
      <c r="B99" s="2">
        <v>100</v>
      </c>
      <c r="C99" s="2" t="s">
        <v>29</v>
      </c>
      <c r="D99" s="17">
        <f>526/100*B99</f>
        <v>526</v>
      </c>
      <c r="E99" s="17">
        <f>1.5/100*B99</f>
        <v>1.5</v>
      </c>
      <c r="F99" s="17">
        <f>38.3/100*B99</f>
        <v>38.299999999999997</v>
      </c>
      <c r="G99" s="17">
        <f>40.3/100*B99</f>
        <v>40.299999999999997</v>
      </c>
    </row>
    <row r="100" spans="1:8" x14ac:dyDescent="0.2">
      <c r="A100" t="s">
        <v>201</v>
      </c>
      <c r="B100" s="2">
        <v>100</v>
      </c>
      <c r="C100" s="2" t="s">
        <v>29</v>
      </c>
      <c r="D100" s="17">
        <f>184/100*B100</f>
        <v>184</v>
      </c>
      <c r="E100" s="17">
        <f>26/100*B100</f>
        <v>26</v>
      </c>
      <c r="F100" s="17">
        <f>8.6/100*B100</f>
        <v>8.6</v>
      </c>
      <c r="G100" s="17">
        <f>4.5/100*B100</f>
        <v>4.5</v>
      </c>
      <c r="H100" t="s">
        <v>110</v>
      </c>
    </row>
    <row r="103" spans="1:8" x14ac:dyDescent="0.2">
      <c r="A103" s="12" t="s">
        <v>123</v>
      </c>
      <c r="B103" s="2">
        <v>100</v>
      </c>
      <c r="C103" s="2" t="s">
        <v>29</v>
      </c>
      <c r="D103" s="17">
        <f>741/100*B103</f>
        <v>741</v>
      </c>
      <c r="E103" s="17">
        <f>0.6/100*B103</f>
        <v>0.6</v>
      </c>
      <c r="F103" s="17">
        <f>0.7/100*B103</f>
        <v>0.7</v>
      </c>
      <c r="G103" s="17">
        <f>83.2/100*B103</f>
        <v>83.2</v>
      </c>
    </row>
    <row r="104" spans="1:8" x14ac:dyDescent="0.2">
      <c r="A104" s="12" t="s">
        <v>133</v>
      </c>
      <c r="B104" s="2">
        <v>1</v>
      </c>
      <c r="C104" s="2" t="s">
        <v>134</v>
      </c>
      <c r="D104" s="17">
        <f>60*B104</f>
        <v>60</v>
      </c>
      <c r="E104" s="17">
        <f>0.1*B104</f>
        <v>0.1</v>
      </c>
      <c r="F104" s="17">
        <f>4.3*B104</f>
        <v>4.3</v>
      </c>
      <c r="G104" s="17">
        <f>4.8*B104</f>
        <v>4.8</v>
      </c>
    </row>
    <row r="105" spans="1:8" x14ac:dyDescent="0.2">
      <c r="A105" s="12" t="s">
        <v>139</v>
      </c>
      <c r="B105" s="2">
        <v>100</v>
      </c>
      <c r="C105" s="2" t="s">
        <v>29</v>
      </c>
      <c r="D105" s="17">
        <f>397/100*B105</f>
        <v>397</v>
      </c>
      <c r="E105" s="17">
        <f>0/100*B105</f>
        <v>0</v>
      </c>
      <c r="F105" s="17">
        <f>29/100*B105</f>
        <v>28.999999999999996</v>
      </c>
      <c r="G105" s="17">
        <f>31.4/100*B105</f>
        <v>31.4</v>
      </c>
      <c r="H105" t="s">
        <v>140</v>
      </c>
    </row>
    <row r="106" spans="1:8" x14ac:dyDescent="0.2">
      <c r="A106" t="s">
        <v>205</v>
      </c>
      <c r="B106" s="2">
        <v>100</v>
      </c>
      <c r="C106" s="2" t="s">
        <v>29</v>
      </c>
      <c r="D106" s="17">
        <f>222/100*B106</f>
        <v>222.00000000000003</v>
      </c>
      <c r="E106" s="17">
        <f>5.4/100*B106</f>
        <v>5.4</v>
      </c>
      <c r="F106" s="17">
        <f>5.4/100*B106</f>
        <v>5.4</v>
      </c>
      <c r="G106" s="17">
        <f>11.6/100*B106</f>
        <v>11.6</v>
      </c>
      <c r="H106" t="s">
        <v>204</v>
      </c>
    </row>
    <row r="107" spans="1:8" x14ac:dyDescent="0.2">
      <c r="A107" t="s">
        <v>206</v>
      </c>
      <c r="B107" s="2">
        <v>100</v>
      </c>
      <c r="C107" s="2" t="s">
        <v>29</v>
      </c>
      <c r="D107" s="17">
        <f>122/100*B107</f>
        <v>122</v>
      </c>
      <c r="E107" s="17">
        <f>3.1/100*B107</f>
        <v>3.1</v>
      </c>
      <c r="F107" s="17">
        <f>7/100*B107</f>
        <v>7.0000000000000009</v>
      </c>
      <c r="G107" s="17">
        <f>9/100*B107</f>
        <v>9</v>
      </c>
      <c r="H107" t="s">
        <v>116</v>
      </c>
    </row>
    <row r="108" spans="1:8" x14ac:dyDescent="0.2">
      <c r="A108" t="s">
        <v>208</v>
      </c>
      <c r="B108" s="2">
        <v>100</v>
      </c>
      <c r="C108" s="2" t="s">
        <v>29</v>
      </c>
      <c r="D108" s="17">
        <f>380/100*B108</f>
        <v>380</v>
      </c>
      <c r="E108" s="17">
        <f>1/100*B108</f>
        <v>1</v>
      </c>
      <c r="F108" s="17">
        <f>18.5/100*B108</f>
        <v>18.5</v>
      </c>
      <c r="G108" s="17">
        <f>33.5/100*B108</f>
        <v>33.5</v>
      </c>
      <c r="H108" t="s">
        <v>209</v>
      </c>
    </row>
    <row r="110" spans="1:8" x14ac:dyDescent="0.2">
      <c r="A110" s="12" t="s">
        <v>138</v>
      </c>
      <c r="B110" s="2">
        <v>100</v>
      </c>
      <c r="C110" s="2" t="s">
        <v>29</v>
      </c>
      <c r="D110" s="17">
        <f>130/100*B110</f>
        <v>130</v>
      </c>
      <c r="E110" s="17">
        <f>9.1/100*B110</f>
        <v>9.1</v>
      </c>
      <c r="F110" s="17">
        <f>9/100*B110</f>
        <v>9</v>
      </c>
      <c r="G110" s="17">
        <f>5.6/100*B110</f>
        <v>5.6</v>
      </c>
    </row>
    <row r="112" spans="1:8" x14ac:dyDescent="0.2">
      <c r="A112" s="30" t="s">
        <v>214</v>
      </c>
    </row>
    <row r="113" spans="1:8" x14ac:dyDescent="0.2">
      <c r="A113" t="s">
        <v>95</v>
      </c>
      <c r="B113" s="2">
        <v>1</v>
      </c>
      <c r="C113" s="2" t="s">
        <v>28</v>
      </c>
      <c r="D113" s="17">
        <f>126*B113</f>
        <v>126</v>
      </c>
      <c r="E113" s="17">
        <f>25.1*B113</f>
        <v>25.1</v>
      </c>
      <c r="F113" s="17">
        <f>7.8*B113</f>
        <v>7.8</v>
      </c>
      <c r="G113" s="17">
        <f>1.4*B113</f>
        <v>1.4</v>
      </c>
    </row>
    <row r="114" spans="1:8" x14ac:dyDescent="0.2">
      <c r="A114" t="s">
        <v>126</v>
      </c>
      <c r="B114" s="2">
        <v>100</v>
      </c>
      <c r="C114" s="2" t="s">
        <v>29</v>
      </c>
      <c r="D114" s="17">
        <f>252/100*B114</f>
        <v>252</v>
      </c>
      <c r="E114" s="17">
        <f>51.8/100*B114</f>
        <v>51.800000000000004</v>
      </c>
      <c r="F114" s="17">
        <f>9/100*B114</f>
        <v>9</v>
      </c>
      <c r="G114" s="17">
        <f>0.9/100*B114</f>
        <v>0.90000000000000013</v>
      </c>
      <c r="H114" t="s">
        <v>127</v>
      </c>
    </row>
    <row r="115" spans="1:8" x14ac:dyDescent="0.2">
      <c r="A115" t="s">
        <v>122</v>
      </c>
      <c r="B115" s="2">
        <v>100</v>
      </c>
      <c r="C115" s="2" t="s">
        <v>29</v>
      </c>
      <c r="D115" s="17">
        <f>349/100*B115</f>
        <v>349</v>
      </c>
      <c r="E115" s="17">
        <f>68.5/100*B115</f>
        <v>68.5</v>
      </c>
      <c r="F115" s="17">
        <f>10.1/100*B115</f>
        <v>10.1</v>
      </c>
      <c r="G115" s="17">
        <f>2.6/100*B115</f>
        <v>2.6</v>
      </c>
    </row>
    <row r="116" spans="1:8" x14ac:dyDescent="0.2">
      <c r="A116" t="s">
        <v>96</v>
      </c>
      <c r="B116" s="2">
        <v>80</v>
      </c>
      <c r="C116" s="2" t="s">
        <v>29</v>
      </c>
      <c r="D116" s="17">
        <f>281/100*B116</f>
        <v>224.8</v>
      </c>
      <c r="E116" s="17">
        <f>46.7/100*B116</f>
        <v>37.36</v>
      </c>
      <c r="F116" s="17">
        <f>8.4/100*B116</f>
        <v>6.7200000000000006</v>
      </c>
      <c r="G116" s="17">
        <f>6.9/100*B116</f>
        <v>5.5200000000000005</v>
      </c>
    </row>
    <row r="117" spans="1:8" x14ac:dyDescent="0.2">
      <c r="A117" t="s">
        <v>194</v>
      </c>
      <c r="B117" s="2">
        <v>100</v>
      </c>
      <c r="C117" s="2" t="s">
        <v>29</v>
      </c>
      <c r="D117" s="17">
        <f>225/100*B117</f>
        <v>225</v>
      </c>
      <c r="E117" s="17">
        <f>45.9/100*B117</f>
        <v>45.9</v>
      </c>
      <c r="F117" s="17">
        <f>7.4/100*B117</f>
        <v>7.4000000000000012</v>
      </c>
      <c r="G117" s="17">
        <f>1/100*B117</f>
        <v>1</v>
      </c>
    </row>
    <row r="118" spans="1:8" x14ac:dyDescent="0.2">
      <c r="A118" t="s">
        <v>113</v>
      </c>
      <c r="B118" s="2">
        <v>100</v>
      </c>
      <c r="C118" s="2" t="s">
        <v>29</v>
      </c>
      <c r="D118" s="17">
        <f>292/100*B118</f>
        <v>292</v>
      </c>
      <c r="E118" s="17">
        <f>51.4/100*B118</f>
        <v>51.4</v>
      </c>
      <c r="F118" s="17">
        <f>10.4/100*B118</f>
        <v>10.4</v>
      </c>
      <c r="G118" s="17">
        <f>3.9/100*B118</f>
        <v>3.9</v>
      </c>
      <c r="H118" t="s">
        <v>114</v>
      </c>
    </row>
    <row r="119" spans="1:8" x14ac:dyDescent="0.2">
      <c r="A119" t="s">
        <v>86</v>
      </c>
      <c r="B119" s="2">
        <v>100</v>
      </c>
      <c r="C119" s="2" t="s">
        <v>29</v>
      </c>
      <c r="D119" s="17">
        <f>349/100*B119</f>
        <v>349</v>
      </c>
      <c r="E119" s="17">
        <f>68.5/100*B119</f>
        <v>68.5</v>
      </c>
      <c r="F119" s="17">
        <f>10.1/100*B119</f>
        <v>10.1</v>
      </c>
      <c r="G119" s="17">
        <f>2.6/100*B119</f>
        <v>2.6</v>
      </c>
      <c r="H119" t="s">
        <v>159</v>
      </c>
    </row>
    <row r="120" spans="1:8" x14ac:dyDescent="0.2">
      <c r="A120" t="s">
        <v>88</v>
      </c>
      <c r="B120" s="2">
        <v>100</v>
      </c>
      <c r="C120" s="2" t="s">
        <v>29</v>
      </c>
      <c r="D120" s="17">
        <f>251/100*B120</f>
        <v>250.99999999999997</v>
      </c>
      <c r="E120" s="17">
        <f>40.8/100*B120</f>
        <v>40.799999999999997</v>
      </c>
      <c r="F120" s="17">
        <f>8.7/100*B120</f>
        <v>8.6999999999999993</v>
      </c>
      <c r="G120" s="17">
        <f>5.3/100*B120</f>
        <v>5.3</v>
      </c>
    </row>
    <row r="122" spans="1:8" x14ac:dyDescent="0.2">
      <c r="A122" s="30" t="s">
        <v>212</v>
      </c>
    </row>
    <row r="123" spans="1:8" x14ac:dyDescent="0.2">
      <c r="A123" t="s">
        <v>160</v>
      </c>
      <c r="B123" s="2">
        <v>100</v>
      </c>
      <c r="C123" s="2" t="s">
        <v>29</v>
      </c>
      <c r="D123" s="17">
        <f>548/100*B123</f>
        <v>548</v>
      </c>
      <c r="E123" s="17">
        <f>57.6/100*B123</f>
        <v>57.600000000000009</v>
      </c>
      <c r="F123" s="17">
        <f>6/100*B123</f>
        <v>6</v>
      </c>
      <c r="G123" s="17">
        <f>31.6/100*B123</f>
        <v>31.6</v>
      </c>
    </row>
    <row r="124" spans="1:8" x14ac:dyDescent="0.2">
      <c r="A124" t="s">
        <v>170</v>
      </c>
      <c r="B124" s="2">
        <v>1</v>
      </c>
      <c r="C124" s="2" t="s">
        <v>28</v>
      </c>
      <c r="D124" s="17">
        <f>B124*118</f>
        <v>118</v>
      </c>
      <c r="E124" s="17">
        <f>B124*9.5</f>
        <v>9.5</v>
      </c>
      <c r="F124" s="17">
        <f>B124*2.2</f>
        <v>2.2000000000000002</v>
      </c>
      <c r="G124" s="17">
        <f>B124*7.8</f>
        <v>7.8</v>
      </c>
    </row>
    <row r="125" spans="1:8" x14ac:dyDescent="0.2">
      <c r="A125" t="s">
        <v>189</v>
      </c>
      <c r="B125" s="2">
        <v>1</v>
      </c>
      <c r="C125" s="2" t="s">
        <v>28</v>
      </c>
      <c r="D125" s="17">
        <f>B125*135</f>
        <v>135</v>
      </c>
      <c r="E125" s="17">
        <f>B125*11.3</f>
        <v>11.3</v>
      </c>
      <c r="F125" s="17">
        <f>B125*2.1</f>
        <v>2.1</v>
      </c>
      <c r="G125" s="17">
        <f>B125*8.9</f>
        <v>8.9</v>
      </c>
    </row>
    <row r="126" spans="1:8" x14ac:dyDescent="0.2">
      <c r="A126" t="s">
        <v>200</v>
      </c>
      <c r="B126" s="2">
        <v>1</v>
      </c>
      <c r="C126" s="2" t="s">
        <v>28</v>
      </c>
      <c r="D126" s="17">
        <f>B126*239</f>
        <v>239</v>
      </c>
      <c r="E126" s="17">
        <f>B126*22.9</f>
        <v>22.9</v>
      </c>
      <c r="F126" s="17">
        <f>B126*2.8</f>
        <v>2.8</v>
      </c>
      <c r="G126" s="17">
        <f>B126*15</f>
        <v>15</v>
      </c>
    </row>
    <row r="127" spans="1:8" x14ac:dyDescent="0.2">
      <c r="A127" t="s">
        <v>97</v>
      </c>
      <c r="B127" s="2">
        <v>100</v>
      </c>
      <c r="C127" s="2" t="s">
        <v>29</v>
      </c>
      <c r="D127" s="17">
        <f>194/100*B127</f>
        <v>194</v>
      </c>
      <c r="E127" s="17">
        <f>47/100*B127</f>
        <v>47</v>
      </c>
      <c r="F127" s="17">
        <f>0.1/100*B127</f>
        <v>0.1</v>
      </c>
      <c r="G127" s="17">
        <f>0.1/100*B127</f>
        <v>0.1</v>
      </c>
      <c r="H127" t="s">
        <v>111</v>
      </c>
    </row>
    <row r="129" spans="1:8" x14ac:dyDescent="0.2">
      <c r="A129" s="30" t="s">
        <v>211</v>
      </c>
    </row>
    <row r="130" spans="1:8" x14ac:dyDescent="0.2">
      <c r="A130" t="s">
        <v>147</v>
      </c>
      <c r="B130" s="2">
        <v>100</v>
      </c>
      <c r="C130" s="2" t="s">
        <v>30</v>
      </c>
      <c r="D130" s="17">
        <f>46/100*B130</f>
        <v>46</v>
      </c>
      <c r="E130" s="17">
        <f>9.4/100*B130</f>
        <v>9.4</v>
      </c>
      <c r="F130" s="17">
        <f>0.7/100*B130</f>
        <v>0.7</v>
      </c>
      <c r="G130" s="17">
        <f>0.2/100*B130</f>
        <v>0.2</v>
      </c>
    </row>
    <row r="131" spans="1:8" x14ac:dyDescent="0.2">
      <c r="A131" t="s">
        <v>142</v>
      </c>
      <c r="B131" s="2">
        <v>100</v>
      </c>
      <c r="C131" s="2" t="s">
        <v>30</v>
      </c>
      <c r="D131" s="17">
        <f>53/100*B131</f>
        <v>53</v>
      </c>
      <c r="E131" s="17">
        <f>11.6/100*B131</f>
        <v>11.6</v>
      </c>
      <c r="F131" s="17">
        <f>0.8/100*B131</f>
        <v>0.8</v>
      </c>
      <c r="G131" s="17">
        <f>0</f>
        <v>0</v>
      </c>
      <c r="H131" t="s">
        <v>143</v>
      </c>
    </row>
    <row r="132" spans="1:8" x14ac:dyDescent="0.2">
      <c r="A132" t="s">
        <v>141</v>
      </c>
      <c r="B132" s="2">
        <v>500</v>
      </c>
      <c r="C132" s="2" t="s">
        <v>30</v>
      </c>
      <c r="D132" s="17">
        <f>49/100*B132</f>
        <v>245</v>
      </c>
      <c r="E132" s="17">
        <f>5/100*B132</f>
        <v>25</v>
      </c>
      <c r="F132" s="17">
        <v>0</v>
      </c>
      <c r="G132" s="17">
        <v>0</v>
      </c>
    </row>
    <row r="133" spans="1:8" x14ac:dyDescent="0.2">
      <c r="A133" t="s">
        <v>197</v>
      </c>
      <c r="B133" s="2">
        <v>230</v>
      </c>
      <c r="C133" s="2" t="s">
        <v>30</v>
      </c>
      <c r="D133" s="17">
        <f>63/100*B133</f>
        <v>144.9</v>
      </c>
      <c r="E133" s="17">
        <f>10/100*B133</f>
        <v>23</v>
      </c>
      <c r="F133" s="17">
        <f>3/100*B133</f>
        <v>6.8999999999999995</v>
      </c>
      <c r="G133" s="17">
        <f>1.2/100*B133</f>
        <v>2.7600000000000002</v>
      </c>
    </row>
    <row r="134" spans="1:8" x14ac:dyDescent="0.2">
      <c r="A134" s="12" t="s">
        <v>124</v>
      </c>
      <c r="B134" s="2">
        <v>160</v>
      </c>
      <c r="C134" s="2" t="s">
        <v>30</v>
      </c>
      <c r="D134" s="17">
        <f>47/100*B134</f>
        <v>75.199999999999989</v>
      </c>
      <c r="E134" s="17">
        <f>3.2/100*B134</f>
        <v>5.12</v>
      </c>
      <c r="F134" s="17">
        <f>2/100*B134</f>
        <v>3.2</v>
      </c>
      <c r="G134" s="17">
        <f>2/100*B134</f>
        <v>3.2</v>
      </c>
      <c r="H134" t="s">
        <v>125</v>
      </c>
    </row>
    <row r="135" spans="1:8" x14ac:dyDescent="0.2">
      <c r="A135" s="12"/>
    </row>
    <row r="136" spans="1:8" x14ac:dyDescent="0.2">
      <c r="A136" s="30" t="s">
        <v>213</v>
      </c>
    </row>
    <row r="137" spans="1:8" x14ac:dyDescent="0.2">
      <c r="A137" t="s">
        <v>169</v>
      </c>
      <c r="B137" s="2">
        <v>100</v>
      </c>
      <c r="C137" s="2" t="s">
        <v>29</v>
      </c>
      <c r="D137" s="17">
        <f>197/100*B137</f>
        <v>197</v>
      </c>
      <c r="E137" s="17">
        <f>19/100*B137</f>
        <v>19</v>
      </c>
      <c r="F137" s="17">
        <f>10/100*B137</f>
        <v>10</v>
      </c>
      <c r="G137" s="17">
        <f>9/100*B137</f>
        <v>9</v>
      </c>
    </row>
    <row r="138" spans="1:8" x14ac:dyDescent="0.2">
      <c r="A138" t="s">
        <v>171</v>
      </c>
      <c r="B138" s="2">
        <v>100</v>
      </c>
      <c r="C138" s="2" t="s">
        <v>29</v>
      </c>
      <c r="D138" s="17">
        <f>118/100*B138</f>
        <v>118</v>
      </c>
      <c r="E138" s="17">
        <f>21.5/100*B138</f>
        <v>21.5</v>
      </c>
      <c r="F138" s="17">
        <f>2.5/100*B138</f>
        <v>2.5</v>
      </c>
      <c r="G138" s="17">
        <f>4.8/100*B138</f>
        <v>4.8</v>
      </c>
    </row>
    <row r="139" spans="1:8" x14ac:dyDescent="0.2">
      <c r="A139" s="35" t="s">
        <v>119</v>
      </c>
      <c r="B139" s="2">
        <v>1</v>
      </c>
      <c r="C139" s="2" t="s">
        <v>28</v>
      </c>
      <c r="D139" s="17">
        <v>336</v>
      </c>
      <c r="E139" s="17">
        <v>33</v>
      </c>
      <c r="F139" s="17">
        <v>11</v>
      </c>
      <c r="G139" s="17">
        <v>17</v>
      </c>
    </row>
    <row r="140" spans="1:8" x14ac:dyDescent="0.2">
      <c r="A140" s="12" t="s">
        <v>130</v>
      </c>
      <c r="B140" s="2">
        <v>1</v>
      </c>
      <c r="C140" s="2" t="s">
        <v>28</v>
      </c>
      <c r="D140" s="17">
        <f>350*B140</f>
        <v>350</v>
      </c>
      <c r="E140" s="17">
        <f>28*B140</f>
        <v>28</v>
      </c>
      <c r="F140" s="17">
        <f>20*B140</f>
        <v>20</v>
      </c>
      <c r="G140" s="17">
        <f>15*B140</f>
        <v>15</v>
      </c>
    </row>
    <row r="141" spans="1:8" x14ac:dyDescent="0.2">
      <c r="A141" t="s">
        <v>175</v>
      </c>
      <c r="B141" s="2">
        <v>1</v>
      </c>
      <c r="C141" s="2" t="s">
        <v>28</v>
      </c>
      <c r="D141" s="17">
        <f>B141*330</f>
        <v>330</v>
      </c>
      <c r="E141" s="17">
        <f>B141*44.5</f>
        <v>44.5</v>
      </c>
      <c r="F141" s="17">
        <f>11.5*B141</f>
        <v>11.5</v>
      </c>
      <c r="G141" s="17">
        <f>11.3*B141</f>
        <v>11.3</v>
      </c>
    </row>
    <row r="142" spans="1:8" x14ac:dyDescent="0.2">
      <c r="A142" t="s">
        <v>182</v>
      </c>
      <c r="B142" s="2">
        <v>100</v>
      </c>
      <c r="C142" s="2" t="s">
        <v>29</v>
      </c>
      <c r="D142" s="17">
        <f>135/100*B142</f>
        <v>135</v>
      </c>
      <c r="E142" s="17">
        <f>25.3/100*B142</f>
        <v>25.3</v>
      </c>
      <c r="F142" s="17">
        <f>5.9/100*B142</f>
        <v>5.9</v>
      </c>
      <c r="G142" s="17">
        <f>1.1/100*B142</f>
        <v>1.1000000000000001</v>
      </c>
    </row>
    <row r="143" spans="1:8" x14ac:dyDescent="0.2">
      <c r="A143" t="s">
        <v>183</v>
      </c>
      <c r="B143" s="2">
        <v>100</v>
      </c>
      <c r="C143" s="2" t="s">
        <v>29</v>
      </c>
      <c r="D143" s="17">
        <f>175/100*B143</f>
        <v>175</v>
      </c>
      <c r="E143" s="17">
        <f>18/100*B143</f>
        <v>18</v>
      </c>
      <c r="F143" s="17">
        <f>11/100*B143</f>
        <v>11</v>
      </c>
      <c r="G143" s="17">
        <f>7/100*B143</f>
        <v>7.0000000000000009</v>
      </c>
      <c r="H143" t="s">
        <v>184</v>
      </c>
    </row>
    <row r="144" spans="1:8" x14ac:dyDescent="0.2">
      <c r="A144" t="s">
        <v>186</v>
      </c>
      <c r="B144" s="2">
        <v>100</v>
      </c>
      <c r="C144" s="2" t="s">
        <v>29</v>
      </c>
      <c r="D144" s="17">
        <f>120/100*B144</f>
        <v>120</v>
      </c>
      <c r="E144" s="17">
        <f>1.5/100*B144</f>
        <v>1.5</v>
      </c>
      <c r="F144" s="17">
        <f>12/100*B144</f>
        <v>12</v>
      </c>
      <c r="G144" s="17">
        <f>7.4/100*B144</f>
        <v>7.4000000000000012</v>
      </c>
    </row>
    <row r="145" spans="1:8" x14ac:dyDescent="0.2">
      <c r="A145" t="s">
        <v>191</v>
      </c>
      <c r="B145" s="2">
        <v>250</v>
      </c>
      <c r="C145" s="2" t="s">
        <v>29</v>
      </c>
      <c r="D145" s="17">
        <f>233/100*B145</f>
        <v>582.5</v>
      </c>
      <c r="E145" s="17">
        <f>0/100*B145</f>
        <v>0</v>
      </c>
      <c r="F145" s="17">
        <f>27.9/100*B145</f>
        <v>69.749999999999986</v>
      </c>
      <c r="G145" s="17">
        <f>10/100*B145</f>
        <v>25</v>
      </c>
      <c r="H145" t="s">
        <v>192</v>
      </c>
    </row>
    <row r="146" spans="1:8" x14ac:dyDescent="0.2">
      <c r="A146" t="s">
        <v>198</v>
      </c>
      <c r="B146" s="2">
        <v>100</v>
      </c>
      <c r="C146" s="2" t="s">
        <v>29</v>
      </c>
      <c r="D146" s="17">
        <f>78/100*B146</f>
        <v>78</v>
      </c>
      <c r="E146" s="17">
        <f>8.3/100*B146</f>
        <v>8.3000000000000007</v>
      </c>
      <c r="F146" s="17">
        <f>3.3/100*B146</f>
        <v>3.3000000000000003</v>
      </c>
      <c r="G146" s="17">
        <f>3.3/100*B146</f>
        <v>3.3000000000000003</v>
      </c>
      <c r="H146" t="s">
        <v>199</v>
      </c>
    </row>
    <row r="147" spans="1:8" x14ac:dyDescent="0.2">
      <c r="A147" s="12" t="s">
        <v>179</v>
      </c>
      <c r="B147" s="2">
        <v>1</v>
      </c>
      <c r="C147" s="2" t="s">
        <v>28</v>
      </c>
      <c r="D147" s="17">
        <f>B147*185</f>
        <v>185</v>
      </c>
      <c r="E147" s="17">
        <f>B147*24</f>
        <v>24</v>
      </c>
      <c r="F147" s="17">
        <f>B147*6.2</f>
        <v>6.2</v>
      </c>
      <c r="G147" s="17">
        <f>B147*6.6</f>
        <v>6.6</v>
      </c>
    </row>
    <row r="148" spans="1:8" x14ac:dyDescent="0.2">
      <c r="A148" t="s">
        <v>144</v>
      </c>
      <c r="B148" s="2">
        <v>100</v>
      </c>
      <c r="C148" s="2" t="s">
        <v>29</v>
      </c>
      <c r="D148" s="17">
        <f>257/100*B148</f>
        <v>257</v>
      </c>
      <c r="E148" s="17">
        <f>15.8/100*B148</f>
        <v>15.8</v>
      </c>
      <c r="F148" s="17">
        <f>10.6/100*B148</f>
        <v>10.6</v>
      </c>
      <c r="G148" s="17">
        <f>16/100*B148</f>
        <v>16</v>
      </c>
    </row>
    <row r="149" spans="1:8" x14ac:dyDescent="0.2">
      <c r="A149" t="s">
        <v>83</v>
      </c>
      <c r="B149" s="2">
        <v>1</v>
      </c>
      <c r="C149" s="2" t="s">
        <v>28</v>
      </c>
      <c r="D149" s="17">
        <v>380</v>
      </c>
      <c r="E149" s="17">
        <v>41.6</v>
      </c>
      <c r="F149" s="17">
        <v>13.8</v>
      </c>
      <c r="G149" s="17">
        <v>16.899999999999999</v>
      </c>
    </row>
    <row r="150" spans="1:8" x14ac:dyDescent="0.2">
      <c r="A150" t="s">
        <v>193</v>
      </c>
      <c r="B150" s="2">
        <v>1</v>
      </c>
      <c r="C150" s="2" t="s">
        <v>134</v>
      </c>
      <c r="D150" s="17">
        <f>351*B150</f>
        <v>351</v>
      </c>
      <c r="E150" s="17">
        <f>42.2*B150</f>
        <v>42.2</v>
      </c>
      <c r="F150" s="17">
        <f>16.4*B150</f>
        <v>16.399999999999999</v>
      </c>
      <c r="G150" s="17">
        <f>12.2*B150</f>
        <v>12.2</v>
      </c>
    </row>
  </sheetData>
  <hyperlinks>
    <hyperlink ref="A15" r:id="rId1"/>
    <hyperlink ref="A14" r:id="rId2"/>
    <hyperlink ref="A86" r:id="rId3"/>
  </hyperlinks>
  <pageMargins left="0.75" right="0.75" top="1" bottom="1" header="0.5" footer="0.5"/>
  <pageSetup paperSize="9" orientation="portrait" horizontalDpi="4294967292" verticalDpi="4294967292"/>
  <ignoredErrors>
    <ignoredError sqref="G8 G77 D78 F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A11" sqref="A11"/>
    </sheetView>
  </sheetViews>
  <sheetFormatPr baseColWidth="10" defaultRowHeight="16" x14ac:dyDescent="0.2"/>
  <cols>
    <col min="1" max="1" width="50.33203125" customWidth="1"/>
    <col min="2" max="2" width="11" customWidth="1"/>
    <col min="3" max="3" width="11" style="17" customWidth="1"/>
    <col min="4" max="4" width="10.83203125" style="19"/>
    <col min="5" max="5" width="16.1640625" style="19" customWidth="1"/>
    <col min="6" max="7" width="10.83203125" style="19"/>
  </cols>
  <sheetData>
    <row r="1" spans="1:7" ht="21" x14ac:dyDescent="0.25">
      <c r="A1" s="1" t="s">
        <v>22</v>
      </c>
      <c r="B1" s="1"/>
      <c r="C1" s="24"/>
    </row>
    <row r="2" spans="1:7" x14ac:dyDescent="0.2">
      <c r="A2" s="39" t="s">
        <v>222</v>
      </c>
    </row>
    <row r="4" spans="1:7" s="9" customFormat="1" x14ac:dyDescent="0.2">
      <c r="A4" s="7" t="s">
        <v>0</v>
      </c>
      <c r="B4" s="8" t="s">
        <v>15</v>
      </c>
      <c r="C4" s="18" t="s">
        <v>27</v>
      </c>
      <c r="D4" s="18" t="s">
        <v>1</v>
      </c>
      <c r="E4" s="18" t="s">
        <v>2</v>
      </c>
      <c r="F4" s="18" t="s">
        <v>3</v>
      </c>
      <c r="G4" s="18" t="s">
        <v>4</v>
      </c>
    </row>
    <row r="5" spans="1:7" x14ac:dyDescent="0.2">
      <c r="A5" s="14" t="s">
        <v>7</v>
      </c>
      <c r="B5" s="14"/>
      <c r="C5" s="25" t="s">
        <v>31</v>
      </c>
      <c r="D5" s="13">
        <f>SUM(D6:D8)</f>
        <v>686.5</v>
      </c>
      <c r="E5" s="13">
        <f>SUM(E6:E8)</f>
        <v>13.580000000000002</v>
      </c>
      <c r="F5" s="13">
        <f>SUM(F6:F8)</f>
        <v>51.41</v>
      </c>
      <c r="G5" s="13">
        <f>SUM(G6:G8)</f>
        <v>46.31</v>
      </c>
    </row>
    <row r="6" spans="1:7" x14ac:dyDescent="0.2">
      <c r="A6" s="3" t="s">
        <v>44</v>
      </c>
      <c r="B6" s="4">
        <v>250</v>
      </c>
      <c r="C6" s="20" t="s">
        <v>29</v>
      </c>
      <c r="D6" s="20">
        <f>234/100*B6</f>
        <v>585</v>
      </c>
      <c r="E6" s="20">
        <v>0</v>
      </c>
      <c r="F6" s="20">
        <f>18/100*B6</f>
        <v>45</v>
      </c>
      <c r="G6" s="20">
        <f>18/100*B6</f>
        <v>45</v>
      </c>
    </row>
    <row r="7" spans="1:7" x14ac:dyDescent="0.2">
      <c r="A7" s="3" t="s">
        <v>50</v>
      </c>
      <c r="B7" s="4">
        <v>250</v>
      </c>
      <c r="C7" s="4" t="s">
        <v>29</v>
      </c>
      <c r="D7" s="20">
        <f>31/100*B7</f>
        <v>77.5</v>
      </c>
      <c r="E7" s="20">
        <f>3.2/100*B7</f>
        <v>8</v>
      </c>
      <c r="F7" s="20">
        <f>2.3/100*B7</f>
        <v>5.75</v>
      </c>
      <c r="G7" s="20">
        <f>0.5/100*B7</f>
        <v>1.25</v>
      </c>
    </row>
    <row r="8" spans="1:7" x14ac:dyDescent="0.2">
      <c r="A8" s="3" t="s">
        <v>80</v>
      </c>
      <c r="B8" s="4">
        <v>60</v>
      </c>
      <c r="C8" s="4" t="s">
        <v>29</v>
      </c>
      <c r="D8" s="20">
        <f>40/100*B8</f>
        <v>24</v>
      </c>
      <c r="E8" s="20">
        <f>9.3/100*B8</f>
        <v>5.580000000000001</v>
      </c>
      <c r="F8" s="20">
        <f>1.1/100*B8</f>
        <v>0.66</v>
      </c>
      <c r="G8" s="20">
        <f>0.1/100*B8</f>
        <v>0.06</v>
      </c>
    </row>
    <row r="9" spans="1:7" x14ac:dyDescent="0.2">
      <c r="D9" s="17"/>
      <c r="E9" s="17"/>
      <c r="F9" s="17"/>
      <c r="G9" s="17"/>
    </row>
    <row r="10" spans="1:7" x14ac:dyDescent="0.2">
      <c r="A10" s="14" t="s">
        <v>47</v>
      </c>
      <c r="B10" s="14"/>
      <c r="C10" s="25" t="s">
        <v>31</v>
      </c>
      <c r="D10" s="13">
        <f>SUM(D11:D13)</f>
        <v>577.42499999999995</v>
      </c>
      <c r="E10" s="13">
        <f>SUM(E11:E13)</f>
        <v>29.43</v>
      </c>
      <c r="F10" s="13">
        <f>SUM(F11:F13)</f>
        <v>57.307499999999997</v>
      </c>
      <c r="G10" s="13">
        <f>SUM(G11:G13)</f>
        <v>41.51</v>
      </c>
    </row>
    <row r="11" spans="1:7" x14ac:dyDescent="0.2">
      <c r="A11" s="3" t="s">
        <v>64</v>
      </c>
      <c r="B11" s="4">
        <v>3</v>
      </c>
      <c r="C11" s="4" t="s">
        <v>28</v>
      </c>
      <c r="D11" s="20">
        <f>97*B11</f>
        <v>291</v>
      </c>
      <c r="E11" s="20">
        <f>0.6*B11</f>
        <v>1.7999999999999998</v>
      </c>
      <c r="F11" s="20">
        <f>13*B11</f>
        <v>39</v>
      </c>
      <c r="G11" s="20">
        <f>11*B11</f>
        <v>33</v>
      </c>
    </row>
    <row r="12" spans="1:7" x14ac:dyDescent="0.2">
      <c r="A12" s="3" t="s">
        <v>45</v>
      </c>
      <c r="B12" s="4">
        <v>250</v>
      </c>
      <c r="C12" s="20" t="s">
        <v>29</v>
      </c>
      <c r="D12" s="20">
        <f>60/100*B12</f>
        <v>150</v>
      </c>
      <c r="E12" s="20">
        <f>3.3/100*B12</f>
        <v>8.25</v>
      </c>
      <c r="F12" s="20">
        <f>3.6/100*B12</f>
        <v>9.0000000000000018</v>
      </c>
      <c r="G12" s="20">
        <f>3.2/100*B12</f>
        <v>8</v>
      </c>
    </row>
    <row r="13" spans="1:7" x14ac:dyDescent="0.2">
      <c r="A13" s="3" t="s">
        <v>46</v>
      </c>
      <c r="B13" s="4">
        <v>127.5</v>
      </c>
      <c r="C13" s="20" t="s">
        <v>29</v>
      </c>
      <c r="D13" s="20">
        <f>107/100*B13</f>
        <v>136.42500000000001</v>
      </c>
      <c r="E13" s="20">
        <f>15.2/100*B13</f>
        <v>19.38</v>
      </c>
      <c r="F13" s="20">
        <f>7.3/100*B13</f>
        <v>9.3074999999999992</v>
      </c>
      <c r="G13" s="20">
        <f>0.4/100*B13</f>
        <v>0.51</v>
      </c>
    </row>
    <row r="14" spans="1:7" x14ac:dyDescent="0.2">
      <c r="A14" s="3"/>
      <c r="B14" s="4"/>
      <c r="C14" s="20"/>
      <c r="D14" s="20"/>
      <c r="E14" s="20"/>
      <c r="F14" s="20"/>
      <c r="G14" s="20"/>
    </row>
    <row r="15" spans="1:7" s="14" customFormat="1" x14ac:dyDescent="0.2">
      <c r="A15" s="14" t="s">
        <v>54</v>
      </c>
      <c r="C15" s="13" t="s">
        <v>31</v>
      </c>
      <c r="D15" s="13">
        <f>D16+D21+D22</f>
        <v>602.23809523809518</v>
      </c>
      <c r="E15" s="13">
        <f t="shared" ref="E15:G15" si="0">E16+E21+E22</f>
        <v>58.638095238095239</v>
      </c>
      <c r="F15" s="13">
        <f t="shared" si="0"/>
        <v>23.979761904761904</v>
      </c>
      <c r="G15" s="13">
        <f t="shared" si="0"/>
        <v>27.872619047619047</v>
      </c>
    </row>
    <row r="16" spans="1:7" s="14" customFormat="1" x14ac:dyDescent="0.2">
      <c r="A16" s="3" t="s">
        <v>217</v>
      </c>
      <c r="B16" s="4">
        <v>100</v>
      </c>
      <c r="C16" s="20" t="s">
        <v>29</v>
      </c>
      <c r="D16" s="20">
        <f>SUM(D17:D20)/SUM(B17:B20)*B16</f>
        <v>441.23809523809524</v>
      </c>
      <c r="E16" s="20">
        <f>SUM(E17:E20)/SUM(B17:B20)*B16</f>
        <v>43.638095238095239</v>
      </c>
      <c r="F16" s="20">
        <f>SUM(F17:F20)/SUM(B17:B20)*B16</f>
        <v>13.704761904761906</v>
      </c>
      <c r="G16" s="20">
        <f>SUM(G17:G20)/SUM(B17:B20)*B16</f>
        <v>21.247619047619047</v>
      </c>
    </row>
    <row r="17" spans="1:8" x14ac:dyDescent="0.2">
      <c r="A17" s="21" t="s">
        <v>55</v>
      </c>
      <c r="B17" s="22">
        <v>300</v>
      </c>
      <c r="C17" s="23" t="s">
        <v>29</v>
      </c>
      <c r="D17" s="23">
        <f>366/100*B17</f>
        <v>1098</v>
      </c>
      <c r="E17" s="23">
        <f>56.4/100*B17</f>
        <v>169.2</v>
      </c>
      <c r="F17" s="23">
        <f>12.4/100*B17</f>
        <v>37.200000000000003</v>
      </c>
      <c r="G17" s="23">
        <f>7.6/100*B17</f>
        <v>22.8</v>
      </c>
    </row>
    <row r="18" spans="1:8" x14ac:dyDescent="0.2">
      <c r="A18" s="21" t="s">
        <v>56</v>
      </c>
      <c r="B18" s="22">
        <v>50</v>
      </c>
      <c r="C18" s="23" t="s">
        <v>29</v>
      </c>
      <c r="D18" s="23">
        <f>372/100*B18</f>
        <v>186</v>
      </c>
      <c r="E18" s="23">
        <f>58.7/100*B18</f>
        <v>29.350000000000005</v>
      </c>
      <c r="F18" s="23">
        <f>13.5/100*B18</f>
        <v>6.75</v>
      </c>
      <c r="G18" s="23">
        <f>7/100*B18</f>
        <v>3.5000000000000004</v>
      </c>
    </row>
    <row r="19" spans="1:8" x14ac:dyDescent="0.2">
      <c r="A19" s="21" t="s">
        <v>57</v>
      </c>
      <c r="B19" s="22">
        <v>100</v>
      </c>
      <c r="C19" s="23" t="s">
        <v>29</v>
      </c>
      <c r="D19" s="23">
        <f>647/100*B19</f>
        <v>647</v>
      </c>
      <c r="E19" s="23">
        <f>5.8/100*B19</f>
        <v>5.8</v>
      </c>
      <c r="F19" s="23">
        <f>19/100*B19</f>
        <v>19</v>
      </c>
      <c r="G19" s="23">
        <f>59/100*B19</f>
        <v>59</v>
      </c>
    </row>
    <row r="20" spans="1:8" x14ac:dyDescent="0.2">
      <c r="A20" s="21" t="s">
        <v>58</v>
      </c>
      <c r="B20" s="22">
        <v>75</v>
      </c>
      <c r="C20" s="23" t="s">
        <v>29</v>
      </c>
      <c r="D20" s="23">
        <f>514/100*B20</f>
        <v>385.5</v>
      </c>
      <c r="E20" s="23">
        <f>33/100*B20</f>
        <v>24.75</v>
      </c>
      <c r="F20" s="23">
        <f>12/100*B20</f>
        <v>9</v>
      </c>
      <c r="G20" s="23">
        <f>35/100*B20</f>
        <v>26.25</v>
      </c>
    </row>
    <row r="21" spans="1:8" x14ac:dyDescent="0.2">
      <c r="A21" s="3" t="s">
        <v>59</v>
      </c>
      <c r="B21" s="4">
        <v>150</v>
      </c>
      <c r="C21" s="20" t="s">
        <v>29</v>
      </c>
      <c r="D21" s="20">
        <f>54/100*B21</f>
        <v>81</v>
      </c>
      <c r="E21" s="20">
        <f>6/100*B21</f>
        <v>9</v>
      </c>
      <c r="F21" s="20">
        <f>4.1/100*B21</f>
        <v>6.1499999999999995</v>
      </c>
      <c r="G21" s="20">
        <f>1.5/100*B21</f>
        <v>2.25</v>
      </c>
    </row>
    <row r="22" spans="1:8" x14ac:dyDescent="0.2">
      <c r="A22" s="3" t="s">
        <v>48</v>
      </c>
      <c r="B22" s="4">
        <v>125</v>
      </c>
      <c r="C22" s="20" t="s">
        <v>30</v>
      </c>
      <c r="D22" s="20">
        <f>64/100*B22</f>
        <v>80</v>
      </c>
      <c r="E22" s="20">
        <f>4.8/100*B22</f>
        <v>6</v>
      </c>
      <c r="F22" s="20">
        <f>3.3/100*B22</f>
        <v>4.125</v>
      </c>
      <c r="G22" s="20">
        <f>3.5/100*B22</f>
        <v>4.375</v>
      </c>
    </row>
    <row r="23" spans="1:8" x14ac:dyDescent="0.2">
      <c r="A23" s="3"/>
      <c r="B23" s="4"/>
      <c r="C23" s="20"/>
      <c r="D23" s="20"/>
      <c r="E23" s="20"/>
      <c r="F23" s="20"/>
      <c r="G23" s="20"/>
    </row>
    <row r="24" spans="1:8" x14ac:dyDescent="0.2">
      <c r="A24" s="14" t="s">
        <v>166</v>
      </c>
      <c r="B24" s="32"/>
      <c r="C24" s="32" t="s">
        <v>31</v>
      </c>
      <c r="D24" s="13">
        <f>SUM(D25:D27)</f>
        <v>709.73809523809518</v>
      </c>
      <c r="E24" s="13">
        <f t="shared" ref="E24:G24" si="1">SUM(E25:E27)</f>
        <v>53.338095238095242</v>
      </c>
      <c r="F24" s="13">
        <f t="shared" si="1"/>
        <v>21.129761904761907</v>
      </c>
      <c r="G24" s="13">
        <f t="shared" si="1"/>
        <v>43.122619047619047</v>
      </c>
      <c r="H24" s="20"/>
    </row>
    <row r="25" spans="1:8" x14ac:dyDescent="0.2">
      <c r="A25" s="3" t="s">
        <v>217</v>
      </c>
      <c r="B25" s="4">
        <f>B16</f>
        <v>100</v>
      </c>
      <c r="C25" s="20" t="str">
        <f t="shared" ref="C25:G25" si="2">C16</f>
        <v>g</v>
      </c>
      <c r="D25" s="20">
        <f t="shared" si="2"/>
        <v>441.23809523809524</v>
      </c>
      <c r="E25" s="20">
        <f t="shared" si="2"/>
        <v>43.638095238095239</v>
      </c>
      <c r="F25" s="20">
        <f t="shared" si="2"/>
        <v>13.704761904761906</v>
      </c>
      <c r="G25" s="20">
        <f t="shared" si="2"/>
        <v>21.247619047619047</v>
      </c>
    </row>
    <row r="26" spans="1:8" x14ac:dyDescent="0.2">
      <c r="A26" s="3" t="s">
        <v>59</v>
      </c>
      <c r="B26" s="4">
        <v>125</v>
      </c>
      <c r="C26" s="20" t="s">
        <v>29</v>
      </c>
      <c r="D26" s="20">
        <f>54/100*B26</f>
        <v>67.5</v>
      </c>
      <c r="E26" s="20">
        <f>6/100*B26</f>
        <v>7.5</v>
      </c>
      <c r="F26" s="20">
        <f>4.1/100*B26</f>
        <v>5.1249999999999991</v>
      </c>
      <c r="G26" s="20">
        <f>1.5/100*B26</f>
        <v>1.875</v>
      </c>
    </row>
    <row r="27" spans="1:8" x14ac:dyDescent="0.2">
      <c r="A27" s="3" t="s">
        <v>165</v>
      </c>
      <c r="B27" s="4">
        <v>100</v>
      </c>
      <c r="C27" s="20" t="s">
        <v>30</v>
      </c>
      <c r="D27" s="20">
        <f>201/100*B27</f>
        <v>200.99999999999997</v>
      </c>
      <c r="E27" s="20">
        <f>2.2/100*B27</f>
        <v>2.2000000000000002</v>
      </c>
      <c r="F27" s="20">
        <f>2.3/100*B27</f>
        <v>2.2999999999999998</v>
      </c>
      <c r="G27" s="20">
        <f>20/100*B27</f>
        <v>20</v>
      </c>
    </row>
    <row r="28" spans="1:8" x14ac:dyDescent="0.2">
      <c r="D28" s="17"/>
      <c r="E28" s="17"/>
      <c r="F28" s="17"/>
      <c r="G28" s="17"/>
    </row>
    <row r="29" spans="1:8" x14ac:dyDescent="0.2">
      <c r="A29" s="12" t="s">
        <v>9</v>
      </c>
      <c r="B29" s="12"/>
      <c r="C29" s="25" t="s">
        <v>31</v>
      </c>
      <c r="D29" s="13">
        <f>SUM(D30:D31)</f>
        <v>354.3</v>
      </c>
      <c r="E29" s="13">
        <f>SUM(E30:E31)</f>
        <v>20.7</v>
      </c>
      <c r="F29" s="13">
        <f>SUM(F30:F31)</f>
        <v>32.800000000000004</v>
      </c>
      <c r="G29" s="13">
        <f>SUM(G30:G31)</f>
        <v>15.700000000000003</v>
      </c>
    </row>
    <row r="30" spans="1:8" x14ac:dyDescent="0.2">
      <c r="A30" s="3" t="s">
        <v>14</v>
      </c>
      <c r="B30" s="4">
        <v>25</v>
      </c>
      <c r="C30" s="20" t="s">
        <v>29</v>
      </c>
      <c r="D30" s="20">
        <f>98.3/25*B30</f>
        <v>98.3</v>
      </c>
      <c r="E30" s="20">
        <f>1.5/25*B30</f>
        <v>1.5</v>
      </c>
      <c r="F30" s="20">
        <f>19.6/25*B30</f>
        <v>19.600000000000001</v>
      </c>
      <c r="G30" s="20">
        <f>1.7/25*B30</f>
        <v>1.7000000000000002</v>
      </c>
    </row>
    <row r="31" spans="1:8" x14ac:dyDescent="0.2">
      <c r="A31" s="3" t="s">
        <v>48</v>
      </c>
      <c r="B31" s="4">
        <v>400</v>
      </c>
      <c r="C31" s="20" t="s">
        <v>30</v>
      </c>
      <c r="D31" s="20">
        <f>64/100*B31</f>
        <v>256</v>
      </c>
      <c r="E31" s="20">
        <f>4.8/100*B31</f>
        <v>19.2</v>
      </c>
      <c r="F31" s="20">
        <f>3.3/100*B31</f>
        <v>13.200000000000001</v>
      </c>
      <c r="G31" s="20">
        <f>3.5/100*B31</f>
        <v>14.000000000000002</v>
      </c>
    </row>
    <row r="32" spans="1:8" x14ac:dyDescent="0.2">
      <c r="A32" s="3"/>
      <c r="B32" s="4"/>
      <c r="C32" s="20"/>
      <c r="D32" s="20"/>
      <c r="E32" s="20"/>
      <c r="F32" s="20"/>
      <c r="G32" s="20"/>
    </row>
    <row r="33" spans="1:7" x14ac:dyDescent="0.2">
      <c r="A33" s="12" t="s">
        <v>174</v>
      </c>
      <c r="B33" s="12"/>
      <c r="C33" s="25" t="s">
        <v>31</v>
      </c>
      <c r="D33" s="13">
        <f>SUM(D34:D36)</f>
        <v>506.1</v>
      </c>
      <c r="E33" s="13">
        <f t="shared" ref="E33:G33" si="3">SUM(E34:E36)</f>
        <v>17.89</v>
      </c>
      <c r="F33" s="13">
        <f t="shared" si="3"/>
        <v>38</v>
      </c>
      <c r="G33" s="13">
        <f t="shared" si="3"/>
        <v>30.950000000000003</v>
      </c>
    </row>
    <row r="34" spans="1:7" x14ac:dyDescent="0.2">
      <c r="A34" s="3" t="s">
        <v>173</v>
      </c>
      <c r="B34" s="4">
        <v>30</v>
      </c>
      <c r="C34" s="20" t="s">
        <v>29</v>
      </c>
      <c r="D34" s="20">
        <f>377/100*B34</f>
        <v>113.1</v>
      </c>
      <c r="E34" s="20">
        <f>4.3/100*B34</f>
        <v>1.2899999999999998</v>
      </c>
      <c r="F34" s="20">
        <f>86/100*B34</f>
        <v>25.8</v>
      </c>
      <c r="G34" s="20">
        <f>1.5/100*B34</f>
        <v>0.44999999999999996</v>
      </c>
    </row>
    <row r="35" spans="1:7" x14ac:dyDescent="0.2">
      <c r="A35" s="3" t="s">
        <v>48</v>
      </c>
      <c r="B35" s="4">
        <v>300</v>
      </c>
      <c r="C35" s="20" t="s">
        <v>30</v>
      </c>
      <c r="D35" s="20">
        <f>64/100*B35</f>
        <v>192</v>
      </c>
      <c r="E35" s="20">
        <f>4.8/100*B35</f>
        <v>14.4</v>
      </c>
      <c r="F35" s="20">
        <f>3.3/100*B35</f>
        <v>9.9</v>
      </c>
      <c r="G35" s="20">
        <f>3.5/100*B35</f>
        <v>10.500000000000002</v>
      </c>
    </row>
    <row r="36" spans="1:7" x14ac:dyDescent="0.2">
      <c r="A36" s="3" t="s">
        <v>165</v>
      </c>
      <c r="B36" s="4">
        <v>100</v>
      </c>
      <c r="C36" s="20" t="s">
        <v>30</v>
      </c>
      <c r="D36" s="20">
        <f>201/100*B36</f>
        <v>200.99999999999997</v>
      </c>
      <c r="E36" s="20">
        <f>2.2/100*B36</f>
        <v>2.2000000000000002</v>
      </c>
      <c r="F36" s="20">
        <f>2.3/100*B36</f>
        <v>2.2999999999999998</v>
      </c>
      <c r="G36" s="20">
        <f>20/100*B36</f>
        <v>20</v>
      </c>
    </row>
    <row r="37" spans="1:7" x14ac:dyDescent="0.2">
      <c r="A37" s="3"/>
      <c r="B37" s="4"/>
      <c r="C37" s="20"/>
      <c r="D37" s="20"/>
      <c r="E37" s="20"/>
      <c r="F37" s="20"/>
      <c r="G37" s="20"/>
    </row>
    <row r="38" spans="1:7" x14ac:dyDescent="0.2">
      <c r="A38" s="12" t="s">
        <v>115</v>
      </c>
      <c r="B38" s="12"/>
      <c r="C38" s="25" t="s">
        <v>31</v>
      </c>
      <c r="D38" s="13">
        <f>SUM(D39:D40)</f>
        <v>356</v>
      </c>
      <c r="E38" s="13">
        <f>SUM(E39:E40)</f>
        <v>24.95</v>
      </c>
      <c r="F38" s="13">
        <f>SUM(F39:F40)</f>
        <v>25.450000000000003</v>
      </c>
      <c r="G38" s="13">
        <f>SUM(G39:G40)</f>
        <v>16.75</v>
      </c>
    </row>
    <row r="39" spans="1:7" x14ac:dyDescent="0.2">
      <c r="A39" s="3" t="s">
        <v>177</v>
      </c>
      <c r="B39" s="4">
        <v>25</v>
      </c>
      <c r="C39" s="20" t="s">
        <v>29</v>
      </c>
      <c r="D39" s="20">
        <f>400/100*B39</f>
        <v>100</v>
      </c>
      <c r="E39" s="20">
        <f>23/100*B39</f>
        <v>5.75</v>
      </c>
      <c r="F39" s="20">
        <f>49/100*B39</f>
        <v>12.25</v>
      </c>
      <c r="G39" s="20">
        <f>11/100*B39</f>
        <v>2.75</v>
      </c>
    </row>
    <row r="40" spans="1:7" x14ac:dyDescent="0.2">
      <c r="A40" s="3" t="s">
        <v>48</v>
      </c>
      <c r="B40" s="4">
        <v>400</v>
      </c>
      <c r="C40" s="20" t="s">
        <v>30</v>
      </c>
      <c r="D40" s="20">
        <f>64/100*B40</f>
        <v>256</v>
      </c>
      <c r="E40" s="20">
        <f>4.8/100*B40</f>
        <v>19.2</v>
      </c>
      <c r="F40" s="20">
        <f>3.3/100*B40</f>
        <v>13.200000000000001</v>
      </c>
      <c r="G40" s="20">
        <f>3.5/100*B40</f>
        <v>14.000000000000002</v>
      </c>
    </row>
    <row r="41" spans="1:7" x14ac:dyDescent="0.2">
      <c r="A41" s="3"/>
      <c r="B41" s="4"/>
      <c r="C41" s="20"/>
      <c r="D41" s="20"/>
      <c r="E41" s="20"/>
      <c r="F41" s="20"/>
      <c r="G41" s="20"/>
    </row>
    <row r="42" spans="1:7" x14ac:dyDescent="0.2">
      <c r="A42" s="12" t="s">
        <v>178</v>
      </c>
      <c r="B42" s="12"/>
      <c r="C42" s="25" t="s">
        <v>31</v>
      </c>
      <c r="D42" s="13">
        <f>SUM(D43:D45)</f>
        <v>493</v>
      </c>
      <c r="E42" s="13">
        <f t="shared" ref="E42:G42" si="4">SUM(E43:E45)</f>
        <v>22.349999999999998</v>
      </c>
      <c r="F42" s="13">
        <f t="shared" si="4"/>
        <v>24.45</v>
      </c>
      <c r="G42" s="13">
        <f t="shared" si="4"/>
        <v>33.25</v>
      </c>
    </row>
    <row r="43" spans="1:7" x14ac:dyDescent="0.2">
      <c r="A43" s="3" t="s">
        <v>177</v>
      </c>
      <c r="B43" s="4">
        <v>25</v>
      </c>
      <c r="C43" s="20" t="s">
        <v>29</v>
      </c>
      <c r="D43" s="20">
        <f>400/100*B43</f>
        <v>100</v>
      </c>
      <c r="E43" s="20">
        <f>23/100*B43</f>
        <v>5.75</v>
      </c>
      <c r="F43" s="20">
        <f>49/100*B43</f>
        <v>12.25</v>
      </c>
      <c r="G43" s="20">
        <f>11/100*B43</f>
        <v>2.75</v>
      </c>
    </row>
    <row r="44" spans="1:7" x14ac:dyDescent="0.2">
      <c r="A44" s="3" t="s">
        <v>48</v>
      </c>
      <c r="B44" s="4">
        <v>300</v>
      </c>
      <c r="C44" s="20" t="s">
        <v>30</v>
      </c>
      <c r="D44" s="20">
        <f>64/100*B44</f>
        <v>192</v>
      </c>
      <c r="E44" s="20">
        <f>4.8/100*B44</f>
        <v>14.4</v>
      </c>
      <c r="F44" s="20">
        <f>3.3/100*B44</f>
        <v>9.9</v>
      </c>
      <c r="G44" s="20">
        <f>3.5/100*B44</f>
        <v>10.500000000000002</v>
      </c>
    </row>
    <row r="45" spans="1:7" x14ac:dyDescent="0.2">
      <c r="A45" s="3" t="s">
        <v>165</v>
      </c>
      <c r="B45" s="4">
        <v>100</v>
      </c>
      <c r="C45" s="20" t="s">
        <v>30</v>
      </c>
      <c r="D45" s="20">
        <f>201/100*B45</f>
        <v>200.99999999999997</v>
      </c>
      <c r="E45" s="20">
        <f>2.2/100*B45</f>
        <v>2.2000000000000002</v>
      </c>
      <c r="F45" s="20">
        <f>2.3/100*B45</f>
        <v>2.2999999999999998</v>
      </c>
      <c r="G45" s="20">
        <f>20/100*B45</f>
        <v>20</v>
      </c>
    </row>
    <row r="46" spans="1:7" x14ac:dyDescent="0.2">
      <c r="D46" s="17" t="s">
        <v>11</v>
      </c>
      <c r="E46" s="17"/>
      <c r="F46" s="17"/>
      <c r="G46" s="17"/>
    </row>
    <row r="47" spans="1:7" x14ac:dyDescent="0.2">
      <c r="A47" s="14" t="s">
        <v>71</v>
      </c>
      <c r="B47" s="32">
        <v>2</v>
      </c>
      <c r="C47" s="25" t="s">
        <v>31</v>
      </c>
      <c r="D47" s="13">
        <f>SUM(D48:D51)/$B47</f>
        <v>458.5</v>
      </c>
      <c r="E47" s="13">
        <f t="shared" ref="E47:G47" si="5">SUM(E48:E51)/$B47</f>
        <v>32.275000000000006</v>
      </c>
      <c r="F47" s="13">
        <f t="shared" si="5"/>
        <v>63.800000000000004</v>
      </c>
      <c r="G47" s="13">
        <f t="shared" si="5"/>
        <v>9.35</v>
      </c>
    </row>
    <row r="48" spans="1:7" x14ac:dyDescent="0.2">
      <c r="A48" s="3" t="s">
        <v>49</v>
      </c>
      <c r="B48" s="4">
        <v>400</v>
      </c>
      <c r="C48" s="20" t="s">
        <v>29</v>
      </c>
      <c r="D48" s="20">
        <f>99/100*B48</f>
        <v>396</v>
      </c>
      <c r="E48" s="20">
        <v>0</v>
      </c>
      <c r="F48" s="20">
        <f>23/100*B48</f>
        <v>92</v>
      </c>
      <c r="G48" s="20">
        <f>0.8/100*B48</f>
        <v>3.2</v>
      </c>
    </row>
    <row r="49" spans="1:7" x14ac:dyDescent="0.2">
      <c r="A49" s="3" t="s">
        <v>50</v>
      </c>
      <c r="B49" s="4">
        <v>800</v>
      </c>
      <c r="C49" s="20" t="s">
        <v>29</v>
      </c>
      <c r="D49" s="20">
        <f>31/100*B49</f>
        <v>248</v>
      </c>
      <c r="E49" s="20">
        <f>3.2/100*B49</f>
        <v>25.6</v>
      </c>
      <c r="F49" s="20">
        <f>2.3/100*B49</f>
        <v>18.399999999999999</v>
      </c>
      <c r="G49" s="20">
        <f>0.5/100*B49</f>
        <v>4</v>
      </c>
    </row>
    <row r="50" spans="1:7" x14ac:dyDescent="0.2">
      <c r="A50" s="3" t="s">
        <v>64</v>
      </c>
      <c r="B50" s="4">
        <v>1</v>
      </c>
      <c r="C50" s="4" t="s">
        <v>28</v>
      </c>
      <c r="D50" s="20">
        <f>97*B50</f>
        <v>97</v>
      </c>
      <c r="E50" s="20">
        <f>0.6*B50</f>
        <v>0.6</v>
      </c>
      <c r="F50" s="20">
        <f>13*B50</f>
        <v>13</v>
      </c>
      <c r="G50" s="20">
        <f>11*B50</f>
        <v>11</v>
      </c>
    </row>
    <row r="51" spans="1:7" x14ac:dyDescent="0.2">
      <c r="A51" s="3" t="s">
        <v>73</v>
      </c>
      <c r="B51" s="4">
        <v>50</v>
      </c>
      <c r="C51" s="4" t="s">
        <v>29</v>
      </c>
      <c r="D51" s="20">
        <f>352/100*B51</f>
        <v>176</v>
      </c>
      <c r="E51" s="20">
        <f>76.7/100*B51</f>
        <v>38.35</v>
      </c>
      <c r="F51" s="20">
        <f>8.4/100*B51</f>
        <v>4.2</v>
      </c>
      <c r="G51" s="20">
        <f>1/100*B51</f>
        <v>0.5</v>
      </c>
    </row>
    <row r="53" spans="1:7" s="14" customFormat="1" x14ac:dyDescent="0.2">
      <c r="A53" s="14" t="s">
        <v>60</v>
      </c>
      <c r="C53" s="25" t="s">
        <v>31</v>
      </c>
      <c r="D53" s="13">
        <f>SUM(D54:D56)</f>
        <v>518.5</v>
      </c>
      <c r="E53" s="13">
        <f>SUM(E54:E56)</f>
        <v>39.299999999999997</v>
      </c>
      <c r="F53" s="13">
        <f>SUM(F54:F56)</f>
        <v>53.6</v>
      </c>
      <c r="G53" s="13">
        <f>SUM(G54:G56)</f>
        <v>14</v>
      </c>
    </row>
    <row r="54" spans="1:7" s="3" customFormat="1" x14ac:dyDescent="0.2">
      <c r="A54" s="3" t="s">
        <v>61</v>
      </c>
      <c r="B54" s="4">
        <v>200</v>
      </c>
      <c r="C54" s="4" t="s">
        <v>29</v>
      </c>
      <c r="D54" s="20">
        <f>142/100*B54</f>
        <v>284</v>
      </c>
      <c r="E54" s="20">
        <f>0.7/100*B54</f>
        <v>1.4</v>
      </c>
      <c r="F54" s="20">
        <f>21/100*B54</f>
        <v>42</v>
      </c>
      <c r="G54" s="20">
        <f>6/100*B54</f>
        <v>12</v>
      </c>
    </row>
    <row r="55" spans="1:7" s="3" customFormat="1" x14ac:dyDescent="0.2">
      <c r="A55" s="3" t="s">
        <v>50</v>
      </c>
      <c r="B55" s="4">
        <v>200</v>
      </c>
      <c r="C55" s="4" t="s">
        <v>29</v>
      </c>
      <c r="D55" s="20">
        <f>31/100*B55</f>
        <v>62</v>
      </c>
      <c r="E55" s="20">
        <f>3.2/100*B55</f>
        <v>6.4</v>
      </c>
      <c r="F55" s="20">
        <f>2.3/100*B55</f>
        <v>4.5999999999999996</v>
      </c>
      <c r="G55" s="20">
        <f>0.5/100*B55</f>
        <v>1</v>
      </c>
    </row>
    <row r="56" spans="1:7" s="3" customFormat="1" x14ac:dyDescent="0.2">
      <c r="A56" s="3" t="s">
        <v>62</v>
      </c>
      <c r="B56" s="4">
        <v>50</v>
      </c>
      <c r="C56" s="4" t="s">
        <v>29</v>
      </c>
      <c r="D56" s="20">
        <f>345/100*B56</f>
        <v>172.5</v>
      </c>
      <c r="E56" s="20">
        <f>63/100*B56</f>
        <v>31.5</v>
      </c>
      <c r="F56" s="20">
        <f>14/100*B56</f>
        <v>7.0000000000000009</v>
      </c>
      <c r="G56" s="20">
        <f>2/100*B56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A51" sqref="A51"/>
    </sheetView>
  </sheetViews>
  <sheetFormatPr baseColWidth="10" defaultRowHeight="16" x14ac:dyDescent="0.2"/>
  <cols>
    <col min="1" max="1" width="45.83203125" customWidth="1"/>
    <col min="2" max="3" width="10.83203125" style="11"/>
    <col min="4" max="4" width="10.83203125" style="16"/>
    <col min="5" max="5" width="15" style="17" customWidth="1"/>
    <col min="6" max="7" width="10.83203125" style="17"/>
  </cols>
  <sheetData>
    <row r="1" spans="1:8" ht="21" x14ac:dyDescent="0.25">
      <c r="A1" s="1" t="s">
        <v>221</v>
      </c>
    </row>
    <row r="2" spans="1:8" x14ac:dyDescent="0.2">
      <c r="A2" s="39" t="s">
        <v>220</v>
      </c>
    </row>
    <row r="4" spans="1:8" ht="19" x14ac:dyDescent="0.25">
      <c r="A4" s="10">
        <v>42632</v>
      </c>
    </row>
    <row r="5" spans="1:8" x14ac:dyDescent="0.2">
      <c r="A5" t="s">
        <v>34</v>
      </c>
      <c r="B5" s="11">
        <v>5</v>
      </c>
      <c r="C5" s="11" t="s">
        <v>33</v>
      </c>
      <c r="E5" s="17" t="s">
        <v>76</v>
      </c>
      <c r="F5" s="33">
        <v>90</v>
      </c>
      <c r="G5" s="17" t="s">
        <v>77</v>
      </c>
    </row>
    <row r="7" spans="1:8" x14ac:dyDescent="0.2">
      <c r="A7" t="s">
        <v>69</v>
      </c>
      <c r="B7" s="16">
        <f>Gesamtumsatz</f>
        <v>3000</v>
      </c>
    </row>
    <row r="8" spans="1:8" x14ac:dyDescent="0.2">
      <c r="A8" s="30" t="s">
        <v>70</v>
      </c>
      <c r="B8" s="27">
        <f>D28-B7</f>
        <v>524.64375561545376</v>
      </c>
    </row>
    <row r="10" spans="1:8" s="7" customFormat="1" x14ac:dyDescent="0.2">
      <c r="A10" s="7" t="s">
        <v>0</v>
      </c>
      <c r="B10" s="8" t="s">
        <v>15</v>
      </c>
      <c r="C10" s="8" t="s">
        <v>27</v>
      </c>
      <c r="D10" s="18" t="s">
        <v>1</v>
      </c>
      <c r="E10" s="18" t="s">
        <v>2</v>
      </c>
      <c r="F10" s="18" t="s">
        <v>3</v>
      </c>
      <c r="G10" s="18" t="s">
        <v>4</v>
      </c>
      <c r="H10" s="7" t="s">
        <v>19</v>
      </c>
    </row>
    <row r="11" spans="1:8" x14ac:dyDescent="0.2">
      <c r="A11" t="s">
        <v>63</v>
      </c>
      <c r="B11" s="2">
        <v>3</v>
      </c>
      <c r="C11" s="2" t="s">
        <v>28</v>
      </c>
      <c r="D11" s="17">
        <f>97*B11</f>
        <v>291</v>
      </c>
      <c r="E11" s="17">
        <f>0.6*B11</f>
        <v>1.7999999999999998</v>
      </c>
      <c r="F11" s="17">
        <f>13*B11</f>
        <v>39</v>
      </c>
      <c r="G11" s="17">
        <f>11*B11</f>
        <v>33</v>
      </c>
    </row>
    <row r="12" spans="1:8" x14ac:dyDescent="0.2">
      <c r="A12" s="14" t="s">
        <v>54</v>
      </c>
      <c r="B12" s="14"/>
      <c r="C12" s="13" t="s">
        <v>31</v>
      </c>
      <c r="D12" s="13">
        <v>602.23809523809518</v>
      </c>
      <c r="E12" s="13">
        <v>58.638095238095239</v>
      </c>
      <c r="F12" s="13">
        <v>23.979761904761904</v>
      </c>
      <c r="G12" s="13">
        <v>27.872619047619047</v>
      </c>
    </row>
    <row r="13" spans="1:8" x14ac:dyDescent="0.2">
      <c r="A13" t="s">
        <v>51</v>
      </c>
      <c r="B13" s="2">
        <v>30</v>
      </c>
      <c r="C13" s="2" t="s">
        <v>29</v>
      </c>
      <c r="D13" s="2">
        <f>32/100*B13</f>
        <v>9.6</v>
      </c>
      <c r="E13" s="2">
        <f>5.4/100*B13</f>
        <v>1.62</v>
      </c>
      <c r="F13" s="2">
        <f>0.8/100*B13</f>
        <v>0.24</v>
      </c>
      <c r="G13" s="2">
        <f>0.4/100*B13</f>
        <v>0.12</v>
      </c>
    </row>
    <row r="14" spans="1:8" x14ac:dyDescent="0.2">
      <c r="A14" t="s">
        <v>52</v>
      </c>
      <c r="B14" s="2">
        <v>40</v>
      </c>
      <c r="C14" s="2" t="s">
        <v>29</v>
      </c>
      <c r="D14" s="2">
        <f>42/100*B14</f>
        <v>16.8</v>
      </c>
      <c r="E14" s="2">
        <f>7.4/100*B14</f>
        <v>2.9600000000000004</v>
      </c>
      <c r="F14" s="2">
        <f>0.6/100*B14</f>
        <v>0.24</v>
      </c>
      <c r="G14" s="2">
        <f>0.6/100*B14</f>
        <v>0.24</v>
      </c>
    </row>
    <row r="15" spans="1:8" x14ac:dyDescent="0.2">
      <c r="A15" t="s">
        <v>32</v>
      </c>
      <c r="D15" s="16">
        <v>300</v>
      </c>
      <c r="E15" s="17">
        <v>12</v>
      </c>
      <c r="F15" s="17">
        <v>8</v>
      </c>
      <c r="G15" s="17">
        <v>3</v>
      </c>
    </row>
    <row r="16" spans="1:8" x14ac:dyDescent="0.2">
      <c r="A16" t="s">
        <v>25</v>
      </c>
      <c r="B16" s="2">
        <v>140</v>
      </c>
      <c r="C16" s="2" t="s">
        <v>29</v>
      </c>
      <c r="D16" s="17">
        <f>111/100*B16</f>
        <v>155.4</v>
      </c>
      <c r="E16" s="17">
        <f>0.1/100*B16</f>
        <v>0.14000000000000001</v>
      </c>
      <c r="F16" s="17">
        <f>25.5/100*B16</f>
        <v>35.700000000000003</v>
      </c>
      <c r="G16" s="17">
        <f>1/100*B16</f>
        <v>1.4000000000000001</v>
      </c>
    </row>
    <row r="17" spans="1:8" x14ac:dyDescent="0.2">
      <c r="A17" s="12" t="s">
        <v>9</v>
      </c>
      <c r="B17" s="15"/>
      <c r="C17" s="15"/>
      <c r="D17" s="13">
        <v>290.3</v>
      </c>
      <c r="E17" s="13">
        <v>15.899999999999999</v>
      </c>
      <c r="F17" s="13">
        <v>29.5</v>
      </c>
      <c r="G17" s="13">
        <v>12.2</v>
      </c>
    </row>
    <row r="18" spans="1:8" x14ac:dyDescent="0.2">
      <c r="A18" t="s">
        <v>23</v>
      </c>
      <c r="B18" s="2">
        <v>16</v>
      </c>
      <c r="C18" s="2" t="s">
        <v>28</v>
      </c>
      <c r="D18" s="17">
        <f>745/53*B18</f>
        <v>224.90566037735849</v>
      </c>
      <c r="E18" s="17">
        <f>4.2/53*B18</f>
        <v>1.267924528301887</v>
      </c>
      <c r="F18" s="17">
        <f>9.3/53*B18</f>
        <v>2.807547169811321</v>
      </c>
      <c r="G18" s="17">
        <f>75.2/53*B18</f>
        <v>22.701886792452832</v>
      </c>
    </row>
    <row r="19" spans="1:8" x14ac:dyDescent="0.2">
      <c r="A19" t="s">
        <v>26</v>
      </c>
      <c r="B19" s="2">
        <v>500</v>
      </c>
      <c r="C19" s="2" t="s">
        <v>30</v>
      </c>
      <c r="D19" s="17">
        <f>35/100*B19</f>
        <v>175</v>
      </c>
      <c r="E19" s="17">
        <f>4/100*B19</f>
        <v>20</v>
      </c>
      <c r="F19" s="17">
        <f>0.5/100*B19</f>
        <v>2.5</v>
      </c>
      <c r="G19" s="17">
        <f>3.5/100*B19</f>
        <v>17.5</v>
      </c>
    </row>
    <row r="20" spans="1:8" x14ac:dyDescent="0.2">
      <c r="A20" t="s">
        <v>60</v>
      </c>
      <c r="C20" s="11" t="s">
        <v>31</v>
      </c>
      <c r="D20" s="16">
        <v>518.5</v>
      </c>
      <c r="E20" s="17">
        <v>39.299999999999997</v>
      </c>
      <c r="F20" s="17">
        <v>53.6</v>
      </c>
      <c r="G20" s="17">
        <v>14</v>
      </c>
      <c r="H20" s="2"/>
    </row>
    <row r="21" spans="1:8" x14ac:dyDescent="0.2">
      <c r="A21" t="s">
        <v>36</v>
      </c>
      <c r="B21" s="2">
        <v>25</v>
      </c>
      <c r="C21" s="2" t="s">
        <v>29</v>
      </c>
      <c r="D21" s="17">
        <f>345/100*B21</f>
        <v>86.25</v>
      </c>
      <c r="E21" s="17">
        <f>63/100*B21</f>
        <v>15.75</v>
      </c>
      <c r="F21" s="17">
        <f>14/100*B21</f>
        <v>3.5000000000000004</v>
      </c>
      <c r="G21" s="17">
        <f>2/100*B21</f>
        <v>0.5</v>
      </c>
    </row>
    <row r="22" spans="1:8" x14ac:dyDescent="0.2">
      <c r="A22" t="s">
        <v>43</v>
      </c>
      <c r="B22" s="2">
        <v>180</v>
      </c>
      <c r="C22" s="2" t="s">
        <v>29</v>
      </c>
      <c r="D22" s="17">
        <f>85/100*B22</f>
        <v>153</v>
      </c>
      <c r="E22" s="17">
        <f>18/100*B22</f>
        <v>32.4</v>
      </c>
      <c r="F22" s="17">
        <f>0.3/100*B22</f>
        <v>0.54</v>
      </c>
      <c r="G22" s="17">
        <f>0.4/100*B22</f>
        <v>0.72</v>
      </c>
    </row>
    <row r="23" spans="1:8" x14ac:dyDescent="0.2">
      <c r="A23" t="s">
        <v>63</v>
      </c>
      <c r="B23" s="2">
        <v>0.75</v>
      </c>
      <c r="C23" s="2" t="s">
        <v>28</v>
      </c>
      <c r="D23" s="17">
        <f>97*B23</f>
        <v>72.75</v>
      </c>
      <c r="E23" s="17">
        <f>0.6*B23</f>
        <v>0.44999999999999996</v>
      </c>
      <c r="F23" s="17">
        <f>13*B23</f>
        <v>9.75</v>
      </c>
      <c r="G23" s="17">
        <f>11*B23</f>
        <v>8.25</v>
      </c>
    </row>
    <row r="24" spans="1:8" x14ac:dyDescent="0.2">
      <c r="A24" t="s">
        <v>9</v>
      </c>
      <c r="C24" s="11" t="s">
        <v>31</v>
      </c>
      <c r="D24" s="16">
        <v>354.3</v>
      </c>
      <c r="E24" s="17">
        <v>20.7</v>
      </c>
      <c r="F24" s="17">
        <v>32.800000000000004</v>
      </c>
      <c r="G24" s="17">
        <v>15.700000000000003</v>
      </c>
    </row>
    <row r="25" spans="1:8" x14ac:dyDescent="0.2">
      <c r="A25" t="s">
        <v>65</v>
      </c>
      <c r="B25" s="2">
        <v>130</v>
      </c>
      <c r="C25" s="2" t="s">
        <v>29</v>
      </c>
      <c r="D25" s="17">
        <f>90/100*B25</f>
        <v>117</v>
      </c>
      <c r="E25" s="17">
        <f>20/100*B25</f>
        <v>26</v>
      </c>
      <c r="F25" s="17">
        <f>1.2/100*B25</f>
        <v>1.56</v>
      </c>
      <c r="G25" s="17">
        <f>0.2/100*B25</f>
        <v>0.26</v>
      </c>
    </row>
    <row r="26" spans="1:8" x14ac:dyDescent="0.2">
      <c r="A26" t="s">
        <v>42</v>
      </c>
      <c r="B26" s="2">
        <v>200</v>
      </c>
      <c r="C26" s="2" t="s">
        <v>29</v>
      </c>
      <c r="D26" s="17">
        <f>66/100*B26</f>
        <v>132</v>
      </c>
      <c r="E26" s="17">
        <f>4.1/100*B26</f>
        <v>8.1999999999999993</v>
      </c>
      <c r="F26" s="17">
        <f>12/100*B26</f>
        <v>24</v>
      </c>
      <c r="G26" s="17">
        <f>0.2/100*B26</f>
        <v>0.4</v>
      </c>
    </row>
    <row r="27" spans="1:8" s="9" customFormat="1" x14ac:dyDescent="0.2">
      <c r="A27" s="9" t="s">
        <v>51</v>
      </c>
      <c r="B27" s="28">
        <v>80</v>
      </c>
      <c r="C27" s="28" t="s">
        <v>29</v>
      </c>
      <c r="D27" s="29">
        <f>32/100*B27</f>
        <v>25.6</v>
      </c>
      <c r="E27" s="29">
        <f>5.4/100*B27</f>
        <v>4.32</v>
      </c>
      <c r="F27" s="29">
        <f>0.8/100*B27</f>
        <v>0.64</v>
      </c>
      <c r="G27" s="29">
        <f>0.4/100*B27</f>
        <v>0.32</v>
      </c>
    </row>
    <row r="28" spans="1:8" s="30" customFormat="1" x14ac:dyDescent="0.2">
      <c r="A28" s="30" t="s">
        <v>66</v>
      </c>
      <c r="B28" s="26"/>
      <c r="C28" s="26"/>
      <c r="D28" s="27">
        <f>SUM(D11:D27)</f>
        <v>3524.6437556154538</v>
      </c>
      <c r="E28" s="27">
        <f t="shared" ref="E28:G28" si="0">SUM(E11:E27)</f>
        <v>261.44601976639711</v>
      </c>
      <c r="F28" s="27">
        <f t="shared" si="0"/>
        <v>268.35730907457321</v>
      </c>
      <c r="G28" s="27">
        <f t="shared" si="0"/>
        <v>158.18450584007186</v>
      </c>
    </row>
    <row r="29" spans="1:8" x14ac:dyDescent="0.2">
      <c r="E29" s="31">
        <f>E28/SUM($E28:$G28)</f>
        <v>0.38001546915085493</v>
      </c>
      <c r="F29" s="31">
        <f t="shared" ref="F29:G29" si="1">F28/SUM($E28:$G28)</f>
        <v>0.39006112542525728</v>
      </c>
      <c r="G29" s="31">
        <f t="shared" si="1"/>
        <v>0.22992340542388764</v>
      </c>
    </row>
    <row r="32" spans="1:8" ht="19" x14ac:dyDescent="0.25">
      <c r="A32" s="10" t="s">
        <v>223</v>
      </c>
    </row>
    <row r="33" spans="1:8" x14ac:dyDescent="0.2">
      <c r="A33" t="s">
        <v>34</v>
      </c>
      <c r="C33" s="11" t="s">
        <v>33</v>
      </c>
      <c r="E33" s="17" t="s">
        <v>76</v>
      </c>
      <c r="F33" s="33"/>
      <c r="G33" s="17" t="s">
        <v>77</v>
      </c>
    </row>
    <row r="35" spans="1:8" x14ac:dyDescent="0.2">
      <c r="A35" t="s">
        <v>69</v>
      </c>
      <c r="B35" s="16">
        <f>Gesamtumsatz</f>
        <v>3000</v>
      </c>
    </row>
    <row r="36" spans="1:8" x14ac:dyDescent="0.2">
      <c r="A36" s="30" t="s">
        <v>70</v>
      </c>
      <c r="B36" s="27">
        <f>D54-B35</f>
        <v>-3000</v>
      </c>
    </row>
    <row r="38" spans="1:8" s="7" customFormat="1" x14ac:dyDescent="0.2">
      <c r="A38" s="7" t="s">
        <v>0</v>
      </c>
      <c r="B38" s="8" t="s">
        <v>15</v>
      </c>
      <c r="C38" s="8" t="s">
        <v>27</v>
      </c>
      <c r="D38" s="18" t="s">
        <v>1</v>
      </c>
      <c r="E38" s="18" t="s">
        <v>2</v>
      </c>
      <c r="F38" s="18" t="s">
        <v>3</v>
      </c>
      <c r="G38" s="18" t="s">
        <v>4</v>
      </c>
      <c r="H38" s="7" t="s">
        <v>19</v>
      </c>
    </row>
    <row r="39" spans="1:8" x14ac:dyDescent="0.2">
      <c r="B39" s="2"/>
      <c r="C39" s="2"/>
      <c r="D39" s="17"/>
    </row>
    <row r="40" spans="1:8" x14ac:dyDescent="0.2">
      <c r="A40" s="14"/>
      <c r="B40" s="14"/>
      <c r="C40" s="13"/>
      <c r="D40" s="13"/>
      <c r="E40" s="13"/>
      <c r="F40" s="13"/>
      <c r="G40" s="13"/>
    </row>
    <row r="41" spans="1:8" x14ac:dyDescent="0.2">
      <c r="B41" s="2"/>
      <c r="C41" s="2"/>
      <c r="D41" s="2"/>
      <c r="E41" s="2"/>
      <c r="F41" s="2"/>
      <c r="G41" s="2"/>
    </row>
    <row r="42" spans="1:8" x14ac:dyDescent="0.2">
      <c r="B42" s="2"/>
      <c r="C42" s="2"/>
      <c r="D42" s="2"/>
      <c r="E42" s="2"/>
      <c r="F42" s="2"/>
      <c r="G42" s="2"/>
    </row>
    <row r="43" spans="1:8" x14ac:dyDescent="0.2">
      <c r="B43" s="2"/>
      <c r="C43" s="2"/>
      <c r="D43" s="17"/>
    </row>
    <row r="44" spans="1:8" x14ac:dyDescent="0.2">
      <c r="B44" s="2"/>
      <c r="C44" s="2"/>
      <c r="D44" s="17"/>
    </row>
    <row r="45" spans="1:8" x14ac:dyDescent="0.2">
      <c r="A45" s="14"/>
      <c r="B45" s="32"/>
      <c r="C45" s="25"/>
      <c r="D45" s="13"/>
      <c r="E45" s="13"/>
      <c r="F45" s="13"/>
      <c r="G45" s="13"/>
    </row>
    <row r="46" spans="1:8" x14ac:dyDescent="0.2">
      <c r="B46" s="2"/>
      <c r="C46" s="2"/>
      <c r="D46" s="17"/>
    </row>
    <row r="47" spans="1:8" x14ac:dyDescent="0.2">
      <c r="B47" s="2"/>
      <c r="C47" s="2"/>
      <c r="D47" s="17"/>
    </row>
    <row r="48" spans="1:8" x14ac:dyDescent="0.2">
      <c r="B48" s="2"/>
      <c r="C48" s="2"/>
      <c r="D48" s="17"/>
      <c r="H48" s="2"/>
    </row>
    <row r="49" spans="1:7" x14ac:dyDescent="0.2">
      <c r="B49" s="2"/>
      <c r="C49" s="2"/>
      <c r="D49" s="17"/>
    </row>
    <row r="50" spans="1:7" x14ac:dyDescent="0.2">
      <c r="B50" s="2"/>
      <c r="C50" s="2"/>
      <c r="D50" s="17"/>
    </row>
    <row r="52" spans="1:7" x14ac:dyDescent="0.2">
      <c r="B52" s="2"/>
      <c r="C52" s="2"/>
      <c r="D52" s="17"/>
    </row>
    <row r="53" spans="1:7" s="9" customFormat="1" x14ac:dyDescent="0.2">
      <c r="B53" s="28"/>
      <c r="C53" s="28"/>
      <c r="D53" s="29"/>
      <c r="E53" s="29"/>
      <c r="F53" s="29"/>
      <c r="G53" s="29"/>
    </row>
    <row r="54" spans="1:7" s="30" customFormat="1" x14ac:dyDescent="0.2">
      <c r="A54" s="30" t="s">
        <v>66</v>
      </c>
      <c r="B54" s="26"/>
      <c r="C54" s="26"/>
      <c r="D54" s="27">
        <f>SUM(D39:D53)</f>
        <v>0</v>
      </c>
      <c r="E54" s="27">
        <f>SUM(E39:E53)</f>
        <v>0</v>
      </c>
      <c r="F54" s="27">
        <f>SUM(F39:F53)</f>
        <v>0</v>
      </c>
      <c r="G54" s="27">
        <f>SUM(G39:G53)</f>
        <v>0</v>
      </c>
    </row>
    <row r="55" spans="1:7" x14ac:dyDescent="0.2">
      <c r="E55" s="31" t="e">
        <f>E54/SUM($E54:$G54)</f>
        <v>#DIV/0!</v>
      </c>
      <c r="F55" s="31" t="e">
        <f t="shared" ref="F55" si="2">F54/SUM($E54:$G54)</f>
        <v>#DIV/0!</v>
      </c>
      <c r="G55" s="31" t="e">
        <f t="shared" ref="G55" si="3">G54/SUM($E54:$G54)</f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3" sqref="B3"/>
    </sheetView>
  </sheetViews>
  <sheetFormatPr baseColWidth="10" defaultRowHeight="16" x14ac:dyDescent="0.2"/>
  <cols>
    <col min="1" max="1" width="32.83203125" customWidth="1"/>
  </cols>
  <sheetData>
    <row r="1" spans="1:4" ht="21" x14ac:dyDescent="0.25">
      <c r="A1" s="1" t="s">
        <v>67</v>
      </c>
    </row>
    <row r="3" spans="1:4" x14ac:dyDescent="0.2">
      <c r="A3" t="s">
        <v>218</v>
      </c>
      <c r="B3">
        <v>3000</v>
      </c>
      <c r="C3" t="s">
        <v>68</v>
      </c>
      <c r="D3" s="36" t="s">
        <v>219</v>
      </c>
    </row>
    <row r="4" spans="1:4" x14ac:dyDescent="0.2">
      <c r="D4" s="36"/>
    </row>
  </sheetData>
  <hyperlinks>
    <hyperlink ref="D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Zutaten</vt:lpstr>
      <vt:lpstr>Gerichte</vt:lpstr>
      <vt:lpstr>Tracking</vt:lpstr>
      <vt:lpstr>Basisdaten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Seidl</dc:creator>
  <cp:lastModifiedBy>Josef Seidl</cp:lastModifiedBy>
  <dcterms:created xsi:type="dcterms:W3CDTF">2014-12-20T08:14:02Z</dcterms:created>
  <dcterms:modified xsi:type="dcterms:W3CDTF">2016-09-20T04:47:54Z</dcterms:modified>
</cp:coreProperties>
</file>